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<sst xmlns="http://schemas.openxmlformats.org/spreadsheetml/2006/main" count="16222" uniqueCount="1872">
  <si>
    <t>Hyperlinked Case #</t>
  </si>
  <si>
    <t>Office</t>
  </si>
  <si>
    <t>Primary Advocate</t>
  </si>
  <si>
    <t>Client Name</t>
  </si>
  <si>
    <t>Special Legal Problem Code</t>
  </si>
  <si>
    <t>Level of Service</t>
  </si>
  <si>
    <t>Needs DHCI?</t>
  </si>
  <si>
    <t>Consent form?</t>
  </si>
  <si>
    <t>Exclude due to Income?</t>
  </si>
  <si>
    <t>Deliverable Tally</t>
  </si>
  <si>
    <t>LSU</t>
  </si>
  <si>
    <t>QLS</t>
  </si>
  <si>
    <t>BkLS</t>
  </si>
  <si>
    <t>SILS</t>
  </si>
  <si>
    <t>MLS</t>
  </si>
  <si>
    <t>BxLS</t>
  </si>
  <si>
    <t>Sahai, Chelsea</t>
  </si>
  <si>
    <t>Chua, Janice</t>
  </si>
  <si>
    <t>Madrid, Andrea</t>
  </si>
  <si>
    <t>Odoemene, Udoka</t>
  </si>
  <si>
    <t>Zaman, Razeen</t>
  </si>
  <si>
    <t>Baltimore, Beth</t>
  </si>
  <si>
    <t>Patel, Kinjal</t>
  </si>
  <si>
    <t>Mattessich, Sandra</t>
  </si>
  <si>
    <t>Williams, Lorilei</t>
  </si>
  <si>
    <t>Patel, Roopal</t>
  </si>
  <si>
    <t>Carlier, Milton</t>
  </si>
  <si>
    <t>Heine, Isabel</t>
  </si>
  <si>
    <t>Guerra, Yolanda</t>
  </si>
  <si>
    <t>Ramos, Kathryn</t>
  </si>
  <si>
    <t>Cardenas, Lizeth</t>
  </si>
  <si>
    <t>Singh, Ermela</t>
  </si>
  <si>
    <t>Vitale, Soo Kyung</t>
  </si>
  <si>
    <t>Taylor, Stephanie</t>
  </si>
  <si>
    <t>Guiral Cuervo, Carolina</t>
  </si>
  <si>
    <t>Rosario Rodriguez, Luis</t>
  </si>
  <si>
    <t>Kim, Jennie</t>
  </si>
  <si>
    <t>Barrow, Jennifer</t>
  </si>
  <si>
    <t>Velez, Cristina</t>
  </si>
  <si>
    <t>Urizar, Ana</t>
  </si>
  <si>
    <t>Telson, Sarah</t>
  </si>
  <si>
    <t>Chalas, Mayra</t>
  </si>
  <si>
    <t>Ventura, Lynn</t>
  </si>
  <si>
    <t>Eugenio, Rosanna</t>
  </si>
  <si>
    <t>Stadler, Danielle</t>
  </si>
  <si>
    <t>Martinez-Gunter, Maribel</t>
  </si>
  <si>
    <t>Newton, Jack</t>
  </si>
  <si>
    <t>Kim, Jae Young</t>
  </si>
  <si>
    <t>Richman, Emily</t>
  </si>
  <si>
    <t>Edwards, Zamara</t>
  </si>
  <si>
    <t>Ortiz, Andrew</t>
  </si>
  <si>
    <t>Dong, Sean</t>
  </si>
  <si>
    <t>Camargo, Tatiana</t>
  </si>
  <si>
    <t>Alba, Sarah</t>
  </si>
  <si>
    <t>Diaz, Christhian</t>
  </si>
  <si>
    <t>Crafton, Jessica</t>
  </si>
  <si>
    <t>Lawson, Terry</t>
  </si>
  <si>
    <t>Craycroft, Andrew</t>
  </si>
  <si>
    <t>Sandoval, Francisco</t>
  </si>
  <si>
    <t>Rivera, Brunilda</t>
  </si>
  <si>
    <t>Khan, Sofia</t>
  </si>
  <si>
    <t>Ramos, Axel</t>
  </si>
  <si>
    <t>Sambataro, Debra</t>
  </si>
  <si>
    <t>Abrigo, Jose</t>
  </si>
  <si>
    <t>Medina Batiz, Henry Wilfredo</t>
  </si>
  <si>
    <t>Rodriguez, Fernando</t>
  </si>
  <si>
    <t>Roberts, Tajarie</t>
  </si>
  <si>
    <t>Taylor, Dianna</t>
  </si>
  <si>
    <t>Ali, Paula</t>
  </si>
  <si>
    <t>Flores Arzu, Jogeny Sarahi</t>
  </si>
  <si>
    <t>Medina Flores, Wilfer Jomary</t>
  </si>
  <si>
    <t>Medina Flores, Aisha Jogen</t>
  </si>
  <si>
    <t>Regalado, Claudia M</t>
  </si>
  <si>
    <t>Wraich, Sajid</t>
  </si>
  <si>
    <t>Vidals, Celestino</t>
  </si>
  <si>
    <t>Jurado, Karina</t>
  </si>
  <si>
    <t>Bienaime, Yolkingtz</t>
  </si>
  <si>
    <t>Guzman, Pedro Arturo</t>
  </si>
  <si>
    <t>Albert, Shemika</t>
  </si>
  <si>
    <t>Roberts, Khadijia</t>
  </si>
  <si>
    <t>Caceres Ortiz, Angelica</t>
  </si>
  <si>
    <t>Callejas Escobar, Dereck Alexander</t>
  </si>
  <si>
    <t>Vela Chiche, Edvin Jose Davida</t>
  </si>
  <si>
    <t>Guerra Robles, Wilder Concepcion</t>
  </si>
  <si>
    <t>Gomez, Pedro</t>
  </si>
  <si>
    <t>Kormyletskaya, Anastasia</t>
  </si>
  <si>
    <t>Castro, Edwin</t>
  </si>
  <si>
    <t>Tenempaguay, Maria</t>
  </si>
  <si>
    <t>Vasquez, Narcisa</t>
  </si>
  <si>
    <t>Saltos, Zahira</t>
  </si>
  <si>
    <t>Arias, Deyanira Y</t>
  </si>
  <si>
    <t>Tax Menchu, Angela</t>
  </si>
  <si>
    <t>Velasquez Mancia, Rigel Yohairo</t>
  </si>
  <si>
    <t>Castillo Garcia, Deinor</t>
  </si>
  <si>
    <t>Bolvito Canahui, Adali L</t>
  </si>
  <si>
    <t>Garcia-Zuniga, Julio Jorge</t>
  </si>
  <si>
    <t>Garcia Williams, Darrell Divanne</t>
  </si>
  <si>
    <t>Mejia, Mildren</t>
  </si>
  <si>
    <t>Ayala, Jesus</t>
  </si>
  <si>
    <t>Castro, Darlin</t>
  </si>
  <si>
    <t>Segovia Castro, Kimberly</t>
  </si>
  <si>
    <t>Sanchez Flores, Umberto</t>
  </si>
  <si>
    <t>Lawrence, Viviana</t>
  </si>
  <si>
    <t>Viruel, Javier</t>
  </si>
  <si>
    <t>Fernandez-Medina, Keyvan A</t>
  </si>
  <si>
    <t>Bernardez Martinez, Danixy Chaneth</t>
  </si>
  <si>
    <t>Miranda Alvarez, Carlos Geovany</t>
  </si>
  <si>
    <t>Real, Jenny</t>
  </si>
  <si>
    <t>Ramcharan, Rosaline</t>
  </si>
  <si>
    <t>Taylor, Gina</t>
  </si>
  <si>
    <t>Nikonov, Denys</t>
  </si>
  <si>
    <t>Yuganson, Leyda</t>
  </si>
  <si>
    <t>Rivera Pavon, Adalberto</t>
  </si>
  <si>
    <t>Cruz, Xiomara</t>
  </si>
  <si>
    <t>Zelaya, Raquel</t>
  </si>
  <si>
    <t>Ramcharan, Albert</t>
  </si>
  <si>
    <t>Medina-Gamboa, Darwin</t>
  </si>
  <si>
    <t>Angamarca, Ana</t>
  </si>
  <si>
    <t>Portto, Claudia</t>
  </si>
  <si>
    <t>Velasquez, Jesus A</t>
  </si>
  <si>
    <t>Granados-Enamorado, Emely</t>
  </si>
  <si>
    <t>Ixtos Ortiz, Alonzo A</t>
  </si>
  <si>
    <t>Hernandez Lazaro, Olga Lidia</t>
  </si>
  <si>
    <t>Omoshehin, Victor</t>
  </si>
  <si>
    <t>Garcia Loreto, Isidora</t>
  </si>
  <si>
    <t>Nunez, Nikesha</t>
  </si>
  <si>
    <t>Garcia, Adriana</t>
  </si>
  <si>
    <t>Molano, Ruben</t>
  </si>
  <si>
    <t>Costly, Arnold</t>
  </si>
  <si>
    <t>Zamudio, Carlos Eduardo</t>
  </si>
  <si>
    <t>Alvarez, Moises</t>
  </si>
  <si>
    <t>Serech Vargas, Juana Araceli</t>
  </si>
  <si>
    <t>Vasquez Andrade, Yadira Gabriela</t>
  </si>
  <si>
    <t>Vasquez Portillo, Danna Monserrath</t>
  </si>
  <si>
    <t>Garcia Garcia, Erick Jose Miguel</t>
  </si>
  <si>
    <t>Rodriguez Reyes, Feisel Javier</t>
  </si>
  <si>
    <t>Escorcia, Julio</t>
  </si>
  <si>
    <t>Escorcia, Carlos Alberto</t>
  </si>
  <si>
    <t>Escorcia, Alicia</t>
  </si>
  <si>
    <t>Bolvito Canahui, Baudilio</t>
  </si>
  <si>
    <t>Khun, Retrey</t>
  </si>
  <si>
    <t>Vallecillo-Ramirez, Angel David</t>
  </si>
  <si>
    <t>Ramirez, Paula L</t>
  </si>
  <si>
    <t>Mourissa Sam, Shanna</t>
  </si>
  <si>
    <t>Suazo Guity, Maura Alberta</t>
  </si>
  <si>
    <t>Campos, Guadalupe</t>
  </si>
  <si>
    <t>Monroy Mercado, Geraldine</t>
  </si>
  <si>
    <t>Reyes-Ariola, Naomi E</t>
  </si>
  <si>
    <t>Flores-Reyes, Jerome A</t>
  </si>
  <si>
    <t>Reyes-Ariola, Juan Pablo</t>
  </si>
  <si>
    <t>Zelaya, Shairon P.</t>
  </si>
  <si>
    <t>Zelaya Bernardez, Reymond A.</t>
  </si>
  <si>
    <t>Madrid Milla, Edgardo Josue</t>
  </si>
  <si>
    <t>Kaba, Djene</t>
  </si>
  <si>
    <t>Moise, Claudy</t>
  </si>
  <si>
    <t>Bergman, Roman</t>
  </si>
  <si>
    <t>Gomez Fuentes, Marvin</t>
  </si>
  <si>
    <t>Gomez Fuentes, Leonardo</t>
  </si>
  <si>
    <t>Palacios-Marin, Lidice M</t>
  </si>
  <si>
    <t>Palacios Argueta, Roney</t>
  </si>
  <si>
    <t>Arias Rodas, Sandra</t>
  </si>
  <si>
    <t>Arias Rodas, Jesus David</t>
  </si>
  <si>
    <t>Ramjattan, Pushpawattee</t>
  </si>
  <si>
    <t>Wilson, Martine</t>
  </si>
  <si>
    <t>Andino Castro, Angelica</t>
  </si>
  <si>
    <t>Salazar, Rinor</t>
  </si>
  <si>
    <t>Cenatus, Wisner</t>
  </si>
  <si>
    <t>Guzman, Bryan</t>
  </si>
  <si>
    <t>Rivaz-Guzman, Sharbie C.</t>
  </si>
  <si>
    <t>Ayala, Lesby</t>
  </si>
  <si>
    <t>Evelyn, Siobhan</t>
  </si>
  <si>
    <t>Guo, Yan Li</t>
  </si>
  <si>
    <t>De Leon Valdez, Sandra J</t>
  </si>
  <si>
    <t>Asobi, Pauline</t>
  </si>
  <si>
    <t>Onguko, Hazel H</t>
  </si>
  <si>
    <t>Soliz Crisanto, Deybi E.</t>
  </si>
  <si>
    <t>Lino, Fernando</t>
  </si>
  <si>
    <t>Volquez, Miguel</t>
  </si>
  <si>
    <t>George, Ivee</t>
  </si>
  <si>
    <t>Gongar, Grace M</t>
  </si>
  <si>
    <t>Soukouna, Youssouf</t>
  </si>
  <si>
    <t>Cepeda, Dolores</t>
  </si>
  <si>
    <t>Tzep Quiema, Nancy Marisela</t>
  </si>
  <si>
    <t>Peralta, Luis</t>
  </si>
  <si>
    <t>Gomez, Delmy</t>
  </si>
  <si>
    <t>De Leon-Gomez, Ismael</t>
  </si>
  <si>
    <t>Gomez, Irene Sofia</t>
  </si>
  <si>
    <t>Feliz Arias, Giselle M</t>
  </si>
  <si>
    <t>Fernandez Molina, Rahi Emmanuel</t>
  </si>
  <si>
    <t>Martinez Flores, Keisy Mercedes</t>
  </si>
  <si>
    <t>Caballero, Milton Leonel</t>
  </si>
  <si>
    <t>Villanueva, Edin</t>
  </si>
  <si>
    <t>Villanueva Inestroza, Italo</t>
  </si>
  <si>
    <t>Rivas, Luis</t>
  </si>
  <si>
    <t>Leon Martinez, Remedios</t>
  </si>
  <si>
    <t>Heath, Jeve</t>
  </si>
  <si>
    <t>Tulloch, Horace</t>
  </si>
  <si>
    <t>Arzu Garcia, Jemilson A</t>
  </si>
  <si>
    <t>Perez Avila, Yrma</t>
  </si>
  <si>
    <t>Cardenas, Julio</t>
  </si>
  <si>
    <t>Pratt, Wale</t>
  </si>
  <si>
    <t>Kuzmin, Elizaveta</t>
  </si>
  <si>
    <t>Martinez, Khaleb</t>
  </si>
  <si>
    <t>Martinez, Jessica M</t>
  </si>
  <si>
    <t>Domingo Sebastian, Ana Griselda</t>
  </si>
  <si>
    <t>Domingo Sebastian, Almi Maidi</t>
  </si>
  <si>
    <t>Masevhe, Aifheli</t>
  </si>
  <si>
    <t>Norales, Sheilan</t>
  </si>
  <si>
    <t>Bravo Galvez, Darelyn</t>
  </si>
  <si>
    <t>Norales, Sherry</t>
  </si>
  <si>
    <t>Madrid Quezada, Edgardo Josue</t>
  </si>
  <si>
    <t>Castillo Marin, Maura</t>
  </si>
  <si>
    <t>Olmedo Zaracay, Rodrigo</t>
  </si>
  <si>
    <t>Suazo Castillo, Glenda D.</t>
  </si>
  <si>
    <t>Suazo Castillo, Melvis S.</t>
  </si>
  <si>
    <t>Suazo Castillo, Nady C.</t>
  </si>
  <si>
    <t>Lawrence, Cristal</t>
  </si>
  <si>
    <t>Castillo, Sherler</t>
  </si>
  <si>
    <t>Gonzalez Irias, Dennis A</t>
  </si>
  <si>
    <t>Peart, Amoy Tiffany Keydene</t>
  </si>
  <si>
    <t>Diaz Espitia, Carlos Enrique</t>
  </si>
  <si>
    <t>Bermudez Marin, Laureen Yarleth</t>
  </si>
  <si>
    <t>Martinez Marin, Angel Francisco</t>
  </si>
  <si>
    <t>Velasquez, Yachuan P.</t>
  </si>
  <si>
    <t>Madrid Milla, Jonathan Josue</t>
  </si>
  <si>
    <t>Lopez Suazo, Hailyn Yulissa</t>
  </si>
  <si>
    <t>Escamilla, Hermenegilda</t>
  </si>
  <si>
    <t>Tiul-Tec, Manuel</t>
  </si>
  <si>
    <t>Tiul-Xol, Aura G</t>
  </si>
  <si>
    <t>Figueroa, Jesus</t>
  </si>
  <si>
    <t>Perez, William</t>
  </si>
  <si>
    <t>Gomez Velasquez, Carolina</t>
  </si>
  <si>
    <t>Reyes Mejia, Wilmer A</t>
  </si>
  <si>
    <t>Reyes Mejia, Carlos D</t>
  </si>
  <si>
    <t>Sarmiento Martinez, Denia</t>
  </si>
  <si>
    <t>Villanueva, Dayany M.</t>
  </si>
  <si>
    <t>Tkachuk, Maksym</t>
  </si>
  <si>
    <t>Marte Tejeda, Gabina</t>
  </si>
  <si>
    <t>Osorio Andino, LLoid Samir</t>
  </si>
  <si>
    <t>Rodriguez, Ramon Antonio</t>
  </si>
  <si>
    <t>Sac-Guarchaj, Maria E</t>
  </si>
  <si>
    <t>Sac-Guarchaj, Arleth D</t>
  </si>
  <si>
    <t>Ramirez Candia, Vannessa</t>
  </si>
  <si>
    <t>Vidals Ramirez, Tiberio Noe</t>
  </si>
  <si>
    <t>Lalin-Millers, Ivan W</t>
  </si>
  <si>
    <t>Pena Millers, Maycol E.</t>
  </si>
  <si>
    <t>Ojeda De Nunez, Marisol</t>
  </si>
  <si>
    <t>Cortez Cabrera, Lester Yobanny</t>
  </si>
  <si>
    <t>Zaracay de Olmedo, Maria</t>
  </si>
  <si>
    <t>Medrano, Lourdes</t>
  </si>
  <si>
    <t>Bravo Galvez, Ana N.</t>
  </si>
  <si>
    <t>Egboh, Favour C</t>
  </si>
  <si>
    <t>Alekseev, Aleksei</t>
  </si>
  <si>
    <t>Rowe, Leonardo</t>
  </si>
  <si>
    <t>Cortes Cabrera, Lester Yeovani</t>
  </si>
  <si>
    <t>Grant, Jahveena</t>
  </si>
  <si>
    <t>Alcocer, Cruz Isaias</t>
  </si>
  <si>
    <t>Guzman Feliciano, Junior R</t>
  </si>
  <si>
    <t>Palacios Dolmo, Brithany</t>
  </si>
  <si>
    <t>Rodriguez, Fernando A</t>
  </si>
  <si>
    <t>Benjamin, Charlene</t>
  </si>
  <si>
    <t>Chica Rosales, Jency Pamela</t>
  </si>
  <si>
    <t>Contreras Rosales, Eddie</t>
  </si>
  <si>
    <t>Gutierrez Martinez, Jendri A</t>
  </si>
  <si>
    <t>Burgan, Leon</t>
  </si>
  <si>
    <t>Millers, Kimborly</t>
  </si>
  <si>
    <t>Dego, Zemeto</t>
  </si>
  <si>
    <t>Hernandez Gonzalez, Guillermina</t>
  </si>
  <si>
    <t>Mendoza Mejia, Angel Josue</t>
  </si>
  <si>
    <t>Garzona Zelada, Juan D</t>
  </si>
  <si>
    <t>Zelada Torres, Brenda C</t>
  </si>
  <si>
    <t>Rojas Villfane, Daniel Eduardo</t>
  </si>
  <si>
    <t>Mai (for Yanzhen He), Jianfang</t>
  </si>
  <si>
    <t>Castillo Valencia, Santos Engelberto</t>
  </si>
  <si>
    <t>Mercuri Santos, Atilio</t>
  </si>
  <si>
    <t>Kaur, Gurkamaljit</t>
  </si>
  <si>
    <t>Mendoza, Sandra Lorena</t>
  </si>
  <si>
    <t>Mendoza, Ingris Emeli</t>
  </si>
  <si>
    <t>Perez, Edward</t>
  </si>
  <si>
    <t>Mendoza, Isabella</t>
  </si>
  <si>
    <t>Pulgar Fuenmayor, Dervis Jose</t>
  </si>
  <si>
    <t>Veloz Cabral, Robinson R</t>
  </si>
  <si>
    <t>Garcia Amaya, Kemely E</t>
  </si>
  <si>
    <t>Amaya Ramirez, Martha</t>
  </si>
  <si>
    <t>Valencia Nunez, Stefany Milexy</t>
  </si>
  <si>
    <t>Aguilar, Dylan</t>
  </si>
  <si>
    <t>Lohinov, Andrii</t>
  </si>
  <si>
    <t>Akbar, Mohammad</t>
  </si>
  <si>
    <t>Espinal, Sonia</t>
  </si>
  <si>
    <t>Santos, Ramon</t>
  </si>
  <si>
    <t>Ruiz Diaz, Thiago Marcelo</t>
  </si>
  <si>
    <t>Muhaidat, Sami A</t>
  </si>
  <si>
    <t>Andrade Loor, Lisseth Viviana</t>
  </si>
  <si>
    <t>Calderon, Miguel Angel</t>
  </si>
  <si>
    <t>Herrera Rodas, Jose Luis</t>
  </si>
  <si>
    <t>Lin, Qian</t>
  </si>
  <si>
    <t>Dorlice, Marlene</t>
  </si>
  <si>
    <t>Pedro, Najimdin</t>
  </si>
  <si>
    <t>Bourdeau, Myrtha</t>
  </si>
  <si>
    <t>Raymundo Cedillo, Jacinto Gerardo</t>
  </si>
  <si>
    <t>Narsingh, Astrando Gregory</t>
  </si>
  <si>
    <t>Natt, Dillman</t>
  </si>
  <si>
    <t>Ram, Seloge Andrea</t>
  </si>
  <si>
    <t>Rodriguez Reyes, Susan</t>
  </si>
  <si>
    <t>Salgado Rodriguez, Ashley Guadalupe</t>
  </si>
  <si>
    <t>Vasquez, Joselin</t>
  </si>
  <si>
    <t>Carvajal Perez, Orlando</t>
  </si>
  <si>
    <t>Edwards Smith, Antoinette</t>
  </si>
  <si>
    <t>Tineo, Marleny</t>
  </si>
  <si>
    <t>Encarnacion Feliz, Juana</t>
  </si>
  <si>
    <t>Polanco Acacio, Barney</t>
  </si>
  <si>
    <t>Guzman Encarnacion, Luis Angel</t>
  </si>
  <si>
    <t>Guzman Encarnacion, Ana Camil</t>
  </si>
  <si>
    <t>Guzman Encarnacion, Cesar Anthony</t>
  </si>
  <si>
    <t>Tiguila, Santos</t>
  </si>
  <si>
    <t>Castillo, Juan A</t>
  </si>
  <si>
    <t>Herrera, Concepcion</t>
  </si>
  <si>
    <t>Giraldo, Noely</t>
  </si>
  <si>
    <t>Diaz, Carolina A</t>
  </si>
  <si>
    <t>Morales Cox, Mynor</t>
  </si>
  <si>
    <t>Chen, Baoming</t>
  </si>
  <si>
    <t>Lucero Campos, Belkis Elena</t>
  </si>
  <si>
    <t>La Cruz Lucero, Jhoismar Karina</t>
  </si>
  <si>
    <t>Batiz, Linsy</t>
  </si>
  <si>
    <t>Richards, Vielka</t>
  </si>
  <si>
    <t>Avila Gutierrez, Glenda Melisa</t>
  </si>
  <si>
    <t>Shiwmangal, Ariel</t>
  </si>
  <si>
    <t>Chukwu, Ramseyn</t>
  </si>
  <si>
    <t>Medina, Jerlin Lino</t>
  </si>
  <si>
    <t>Castillo Garcia, Keisy Yoliveth</t>
  </si>
  <si>
    <t>Kante, Aissata</t>
  </si>
  <si>
    <t>Lino Flores, Lisi Yaneira</t>
  </si>
  <si>
    <t>Orellana, Keylin</t>
  </si>
  <si>
    <t>Ayala Hernandez, Billy A</t>
  </si>
  <si>
    <t>Hernandez, Glenda Y</t>
  </si>
  <si>
    <t>Guzman, Johanna</t>
  </si>
  <si>
    <t>Castro  Lalin, Darien</t>
  </si>
  <si>
    <t>Orellana, Anisthon Meza</t>
  </si>
  <si>
    <t>Castro Lalin, Dania M</t>
  </si>
  <si>
    <t>Palacios Castillo, Martha Olivia</t>
  </si>
  <si>
    <t>Miranda Montero, Olga Mileny</t>
  </si>
  <si>
    <t>Miranda Moreno, Denovan Javier</t>
  </si>
  <si>
    <t>Neil, Tracy Ann</t>
  </si>
  <si>
    <t>Marin Ramirez, Tifany Yoely</t>
  </si>
  <si>
    <t>Marin Ramirez, Yehinor Lenin</t>
  </si>
  <si>
    <t>Areola, Treasure Oluwatoniloba</t>
  </si>
  <si>
    <t>Feliz, Edwin</t>
  </si>
  <si>
    <t>Cortez Galicia, Marvin Yobany</t>
  </si>
  <si>
    <t>Abel, Godwill</t>
  </si>
  <si>
    <t>Castilla, Jose Luis</t>
  </si>
  <si>
    <t>Cupil Istazuy, Ismael</t>
  </si>
  <si>
    <t>St. Juste, Philipa</t>
  </si>
  <si>
    <t>Menchu-Garcia, Vicenta</t>
  </si>
  <si>
    <t>Calel Hernandez, Pedro</t>
  </si>
  <si>
    <t>Baizan, Graciana E.</t>
  </si>
  <si>
    <t>Valerio Garcia, Dixon Amilcar</t>
  </si>
  <si>
    <t>Coy, Reina</t>
  </si>
  <si>
    <t>Ramjattan, Deonarine</t>
  </si>
  <si>
    <t>Alvarez Zelaya, Dariela</t>
  </si>
  <si>
    <t>Lascano Miranda, Maria I</t>
  </si>
  <si>
    <t>Arias Rivas, Edgar</t>
  </si>
  <si>
    <t>Prokhorko, Igor</t>
  </si>
  <si>
    <t>Bencosme, Jonathan</t>
  </si>
  <si>
    <t>Arias Rivas, Betzaida O</t>
  </si>
  <si>
    <t>Castillo, Ilda M</t>
  </si>
  <si>
    <t>Pedroza, Ada</t>
  </si>
  <si>
    <t>Chauca, Hector</t>
  </si>
  <si>
    <t>Medor, Gabriel</t>
  </si>
  <si>
    <t>Melendez, Elly F</t>
  </si>
  <si>
    <t>Francis, Isaiah</t>
  </si>
  <si>
    <t>Galindo, Cecilia</t>
  </si>
  <si>
    <t>Polanco, Ana</t>
  </si>
  <si>
    <t>Chuqin Bello, Catherin Eliza</t>
  </si>
  <si>
    <t>Fernandez Soto, Juan Pablo</t>
  </si>
  <si>
    <t>Mohammed, Navino</t>
  </si>
  <si>
    <t>Sween, Tyrell</t>
  </si>
  <si>
    <t>Blanco Baptista, Douglas Kendrid</t>
  </si>
  <si>
    <t>Garcia Blanco, Edgar Eli</t>
  </si>
  <si>
    <t>Garcia Blanco, Leslie Alejandra</t>
  </si>
  <si>
    <t>Martinez-Ramirez, Stephannie Natalia</t>
  </si>
  <si>
    <t>Gibson, Yamira</t>
  </si>
  <si>
    <t>Boureima, Hawa</t>
  </si>
  <si>
    <t>Kosenkov, Andrei</t>
  </si>
  <si>
    <t>Valencia Balbuena, Anai</t>
  </si>
  <si>
    <t>Rodriguez, Gloria</t>
  </si>
  <si>
    <t>Hill, Joelynn</t>
  </si>
  <si>
    <t>Lewis Thomas, Rochell</t>
  </si>
  <si>
    <t>Granda, Freddy</t>
  </si>
  <si>
    <t>Alvarado, Erick</t>
  </si>
  <si>
    <t>Diarra, Kalibou</t>
  </si>
  <si>
    <t>Nunez, Edgar</t>
  </si>
  <si>
    <t>Delgado Cardozo, Randy</t>
  </si>
  <si>
    <t>Martinez, Sara</t>
  </si>
  <si>
    <t>Moran, Alejandra</t>
  </si>
  <si>
    <t>Muneton Ramirez, Juan A</t>
  </si>
  <si>
    <t>Chuquin Bello, Angie</t>
  </si>
  <si>
    <t>Traore-Miller, Abibatou</t>
  </si>
  <si>
    <t>Gawin, Kat</t>
  </si>
  <si>
    <t>Peterson, Yessenia</t>
  </si>
  <si>
    <t>Mikhailova, Mariia</t>
  </si>
  <si>
    <t>Pobedash, Sergei</t>
  </si>
  <si>
    <t>Pobedash, Andrei</t>
  </si>
  <si>
    <t>Plishkin, Anatolii</t>
  </si>
  <si>
    <t>Rosemberg, Kayly</t>
  </si>
  <si>
    <t>Otavalo, Erika Farah</t>
  </si>
  <si>
    <t>Feliz, Sol</t>
  </si>
  <si>
    <t>Alquorazy, Abed</t>
  </si>
  <si>
    <t>Herrera, Juan Luis</t>
  </si>
  <si>
    <t>Calderon, Jose</t>
  </si>
  <si>
    <t>Nunez, Jose</t>
  </si>
  <si>
    <t>Bodden, Andrew</t>
  </si>
  <si>
    <t>Rodriguez, Ramon</t>
  </si>
  <si>
    <t>Marcos Zacarias, Marisol</t>
  </si>
  <si>
    <t>Munoz, Ana Sofia</t>
  </si>
  <si>
    <t>Fernandes, Erica</t>
  </si>
  <si>
    <t>Benacio, Jorge</t>
  </si>
  <si>
    <t>Elazab, Mohamed Haytham Ebrahim Mohamed</t>
  </si>
  <si>
    <t>Elazab, Mohamed Haytham Ebrahim Mo</t>
  </si>
  <si>
    <t>Cuello Avila, Ender Exgles</t>
  </si>
  <si>
    <t>Sushinsky, Svetlana</t>
  </si>
  <si>
    <t>Guevara, Ashley</t>
  </si>
  <si>
    <t>Mohamed, Benkada</t>
  </si>
  <si>
    <t>Donadello, Giodano</t>
  </si>
  <si>
    <t>Ramirez Velazco, Alondra E</t>
  </si>
  <si>
    <t>Garcia, Amparo Milady</t>
  </si>
  <si>
    <t>Perez, Rolando Antonio</t>
  </si>
  <si>
    <t>Brown, Carolina</t>
  </si>
  <si>
    <t>Lopez, Cheyra</t>
  </si>
  <si>
    <t>Javier, Maria C</t>
  </si>
  <si>
    <t>Geraldo, Yenifer</t>
  </si>
  <si>
    <t>Godoy Minchala, Thalia</t>
  </si>
  <si>
    <t>Carrero, Raysa</t>
  </si>
  <si>
    <t>Gray, Ian</t>
  </si>
  <si>
    <t>Charles, Kenneth</t>
  </si>
  <si>
    <t>Alegre, Juana Isabel</t>
  </si>
  <si>
    <t>Wallace, Kathyann</t>
  </si>
  <si>
    <t>Ambrose, George</t>
  </si>
  <si>
    <t>Sanchez, Placido</t>
  </si>
  <si>
    <t>Murashov, Mikhail</t>
  </si>
  <si>
    <t>Aucapina de Quito, Mirian</t>
  </si>
  <si>
    <t>Mai (for Jiayu Mai), Jianfang</t>
  </si>
  <si>
    <t>De Mota, Abel</t>
  </si>
  <si>
    <t>Roopnarine, Yushwant</t>
  </si>
  <si>
    <t>Mesa, John</t>
  </si>
  <si>
    <t>Harris, Humberto</t>
  </si>
  <si>
    <t>Hernandez Lozano, Maria Argelia</t>
  </si>
  <si>
    <t>Lee, Donovan</t>
  </si>
  <si>
    <t>Pryce, Odane</t>
  </si>
  <si>
    <t>Salazar de Marroquin, Silvia Yanira</t>
  </si>
  <si>
    <t>Lu, Sophie</t>
  </si>
  <si>
    <t>Abreu, Yanely</t>
  </si>
  <si>
    <t>Martinez, Jackelin</t>
  </si>
  <si>
    <t>Basdeo, Mahadeo</t>
  </si>
  <si>
    <t>Bonnet, John R.</t>
  </si>
  <si>
    <t>Basdeo, Basmattie</t>
  </si>
  <si>
    <t>Sanchez, Heriberto</t>
  </si>
  <si>
    <t>Andrade Vijil, Karla</t>
  </si>
  <si>
    <t>Comacchio, Joseph</t>
  </si>
  <si>
    <t>Castillo Garcia, Helen Sabina</t>
  </si>
  <si>
    <t>Dzamesi, Peter Kwadwo</t>
  </si>
  <si>
    <t>Ollarvez Pinto, Yecenia</t>
  </si>
  <si>
    <t>Conde Ollarvez, Jorgelys Valentina</t>
  </si>
  <si>
    <t>Conde Ollarvez, Mariangel Ariadna</t>
  </si>
  <si>
    <t>Ambrocio Chic, Jose Abel</t>
  </si>
  <si>
    <t>Chic Hernandez, Lidia</t>
  </si>
  <si>
    <t>Ochoa Chic, Cristhofer Alejandro</t>
  </si>
  <si>
    <t>Torija, Jose</t>
  </si>
  <si>
    <t>Borja, Alonso</t>
  </si>
  <si>
    <t>Harripaul, Seuraragee</t>
  </si>
  <si>
    <t>Cortes Valdez, Beatriz</t>
  </si>
  <si>
    <t>Mangal, Kristener</t>
  </si>
  <si>
    <t>Brodrick, Samantha E</t>
  </si>
  <si>
    <t>Ruiz, Jorge</t>
  </si>
  <si>
    <t>Pujols, Hilda</t>
  </si>
  <si>
    <t>Mendoza Ramos, Jostin Alexander</t>
  </si>
  <si>
    <t>Green-Ewer, Willona M</t>
  </si>
  <si>
    <t>Mann, Jenielle</t>
  </si>
  <si>
    <t>Ali, Shabana</t>
  </si>
  <si>
    <t>Abreu de Fuentes, Roxanna</t>
  </si>
  <si>
    <t>Quizhpi, Manuel Jesus</t>
  </si>
  <si>
    <t>Ramirez, Jenny</t>
  </si>
  <si>
    <t>Torres Romero, Bessy Patricia</t>
  </si>
  <si>
    <t>Villalba, Fidel</t>
  </si>
  <si>
    <t>Chinchilla, Cely</t>
  </si>
  <si>
    <t>Petrov, Andrei</t>
  </si>
  <si>
    <t>Ishimskiy, Dmitriy</t>
  </si>
  <si>
    <t>Rendon Monroy, Fernando</t>
  </si>
  <si>
    <t>Tello, Alvaro</t>
  </si>
  <si>
    <t>Merino, Juan</t>
  </si>
  <si>
    <t>Garanin, Aleksei</t>
  </si>
  <si>
    <t>Nadolskiy, Victor</t>
  </si>
  <si>
    <t>Bulik, Lucyna</t>
  </si>
  <si>
    <t>Deloach, Carmen</t>
  </si>
  <si>
    <t>Pereaux, Adalgisa</t>
  </si>
  <si>
    <t>Benitez Sarmiento, Thaily</t>
  </si>
  <si>
    <t>Urushadze, Vakhtang</t>
  </si>
  <si>
    <t>Aleman Montoya, Cintya</t>
  </si>
  <si>
    <t>Ortiz, Yenssi</t>
  </si>
  <si>
    <t>Bautista Aleman, Meylin</t>
  </si>
  <si>
    <t>Gonzalez, Deborah</t>
  </si>
  <si>
    <t>Taveras, Ignacio</t>
  </si>
  <si>
    <t>McLaughlin, Jon-Michael</t>
  </si>
  <si>
    <t>McLaughlin, Jon-Michela</t>
  </si>
  <si>
    <t>Abreu Nunez, David</t>
  </si>
  <si>
    <t>Najarro-Dominguez, Yojana</t>
  </si>
  <si>
    <t>Morales Najarro, Wilder</t>
  </si>
  <si>
    <t>Restrepo Soto, Maria D</t>
  </si>
  <si>
    <t>Nachande, Judith</t>
  </si>
  <si>
    <t>Escamilla Ortega, Rafael</t>
  </si>
  <si>
    <t>Pineyro Rodriguez, Samantha</t>
  </si>
  <si>
    <t>Briseno, Jose Conde</t>
  </si>
  <si>
    <t>Baquiax Sapon, Jose Arnoldo</t>
  </si>
  <si>
    <t>Annan, Wilhemina</t>
  </si>
  <si>
    <t>Seeram, Mohanee</t>
  </si>
  <si>
    <t>Lindo Urbina, Yamilette</t>
  </si>
  <si>
    <t>Blanco Landaverde, Miguel Fernando</t>
  </si>
  <si>
    <t>Maya Gonzalez, Leticia</t>
  </si>
  <si>
    <t>Snyder, Jorey</t>
  </si>
  <si>
    <t>Lyu, Lin</t>
  </si>
  <si>
    <t>Marcelin, Milord</t>
  </si>
  <si>
    <t>Lopez Murillo, Jennyfer</t>
  </si>
  <si>
    <t>Bautista Carranza, Marcelino</t>
  </si>
  <si>
    <t>Curtis, Pamela S</t>
  </si>
  <si>
    <t>Zacaria Martin, Maria</t>
  </si>
  <si>
    <t>Opasina, Omolara</t>
  </si>
  <si>
    <t>Lopez Zaldivar, Tania</t>
  </si>
  <si>
    <t>Shenouda, Samy</t>
  </si>
  <si>
    <t>Delcid Andino, Briany Janelssy</t>
  </si>
  <si>
    <t>Edmund, Shawn</t>
  </si>
  <si>
    <t>Benedit, Esmy</t>
  </si>
  <si>
    <t>Sagastume Lagos, Denis Estanly</t>
  </si>
  <si>
    <t>De Jesus, Jeanette</t>
  </si>
  <si>
    <t>Gutierrez Fernandez, Digna Ondina</t>
  </si>
  <si>
    <t>Martinez, Nilda Garcia</t>
  </si>
  <si>
    <t>Paiva, Maria De F</t>
  </si>
  <si>
    <t>Toribio de Rosario, Yocasta</t>
  </si>
  <si>
    <t>Guzman, Rosa</t>
  </si>
  <si>
    <t>Pobedash, Ella</t>
  </si>
  <si>
    <t>Moran Silva, Kevin Jose</t>
  </si>
  <si>
    <t>Moran Silva, Yendi Gabriela</t>
  </si>
  <si>
    <t>Garcia, Marce</t>
  </si>
  <si>
    <t>Sochtohom de Bulux, Juana P.</t>
  </si>
  <si>
    <t>Bulux Soch, Yoselin E.</t>
  </si>
  <si>
    <t>Kaur, Satinder</t>
  </si>
  <si>
    <t>Oliva, Marcela Alejandra</t>
  </si>
  <si>
    <t>Oliva, Daniel Alejandro</t>
  </si>
  <si>
    <t>Vivas, Elvis</t>
  </si>
  <si>
    <t>de la Cruz Zumbana, Maria Carmen</t>
  </si>
  <si>
    <t>Vivas, Segundo</t>
  </si>
  <si>
    <t>Saidykhan, Fatoumata</t>
  </si>
  <si>
    <t>Perez, Yolanda</t>
  </si>
  <si>
    <t>Anuforo, Alex</t>
  </si>
  <si>
    <t>Lewis, Kijana</t>
  </si>
  <si>
    <t>Beharry, Angela</t>
  </si>
  <si>
    <t>Mitchell, Christine</t>
  </si>
  <si>
    <t>Mendez Escalante, Angelica</t>
  </si>
  <si>
    <t>Flores, Jeferson D.</t>
  </si>
  <si>
    <t>Alvarez, Isabel</t>
  </si>
  <si>
    <t>Batiz Martinez, Kirad Y</t>
  </si>
  <si>
    <t>Elmore, Andrea</t>
  </si>
  <si>
    <t>Nwokoro, Mark</t>
  </si>
  <si>
    <t>Martinez Casildo, Sairi Judith</t>
  </si>
  <si>
    <t>Lora, Angel Guillermo</t>
  </si>
  <si>
    <t>Lopez de Souza, Adalberto</t>
  </si>
  <si>
    <t>Mejia Mena, Franklin Edenilson</t>
  </si>
  <si>
    <t>Ozhohin, Oleh</t>
  </si>
  <si>
    <t>Diarte, Junior</t>
  </si>
  <si>
    <t>Vasquez, Yissel</t>
  </si>
  <si>
    <t>Martinez Suazo, Naidelin</t>
  </si>
  <si>
    <t>Orazbayev, Darkhan</t>
  </si>
  <si>
    <t>Quashie, Rudolph</t>
  </si>
  <si>
    <t>Flores, Martin</t>
  </si>
  <si>
    <t>Santana, Indira</t>
  </si>
  <si>
    <t>Alvarez Rosales, Carlos Daniel</t>
  </si>
  <si>
    <t>Alvarez Lobo, Carlos Roberto</t>
  </si>
  <si>
    <t>Mejia Mena, Cristian Josue</t>
  </si>
  <si>
    <t>Mejia Mena, Itzel Jareth</t>
  </si>
  <si>
    <t>Patlan Leon, Ricardo Alain</t>
  </si>
  <si>
    <t>Patlan Leon, Derek Yamil</t>
  </si>
  <si>
    <t>Jimenez Pelico, Henry Juvencio</t>
  </si>
  <si>
    <t>Velasquez Cal, Cristina M</t>
  </si>
  <si>
    <t>Dekhterman, Alex</t>
  </si>
  <si>
    <t>Sanchez Cruz, Yorlenni</t>
  </si>
  <si>
    <t>Barry, Alpha Boubacar</t>
  </si>
  <si>
    <t>Lovos Monterroza, Daniela Abigail</t>
  </si>
  <si>
    <t>Diaz Ramirez, Angelique</t>
  </si>
  <si>
    <t>Barrera Lovos, Liseth Del C.</t>
  </si>
  <si>
    <t>Celestin, Guy</t>
  </si>
  <si>
    <t>Cabrera, Valentina</t>
  </si>
  <si>
    <t>Ibrahim, Mervot</t>
  </si>
  <si>
    <t>Hernandez, Melissa</t>
  </si>
  <si>
    <t>Cutz, Jose Daniel</t>
  </si>
  <si>
    <t>Gerrado Cuevas, Belky</t>
  </si>
  <si>
    <t>Morris, Orville O</t>
  </si>
  <si>
    <t>Gonzalez, Macaria</t>
  </si>
  <si>
    <t>Davis, Jeron</t>
  </si>
  <si>
    <t>Ballesteros Bernardez, Jordan</t>
  </si>
  <si>
    <t>Serech Vargas, William Eduardo</t>
  </si>
  <si>
    <t>Silva Queche, Blanca Amarilis</t>
  </si>
  <si>
    <t>Cruceta, Patzy Jose</t>
  </si>
  <si>
    <t>Guzman Cruceta, Princess</t>
  </si>
  <si>
    <t>Peralta Cruceta, Perla Jane</t>
  </si>
  <si>
    <t>Snow, Dawn A</t>
  </si>
  <si>
    <t>Roberts, Shanique</t>
  </si>
  <si>
    <t>Roberts, Khadija</t>
  </si>
  <si>
    <t>Ballesteros Bernardez, Jahir</t>
  </si>
  <si>
    <t>Bastelleros Bernardez, Genesis</t>
  </si>
  <si>
    <t>Gonzalez, Argelia</t>
  </si>
  <si>
    <t>Ramirez, Aleyda</t>
  </si>
  <si>
    <t>Quezada Lopez, Willianny</t>
  </si>
  <si>
    <t>Quezada Lopez, Wiridiam</t>
  </si>
  <si>
    <t>Ramirez, Francisco</t>
  </si>
  <si>
    <t>Smith, Raphia S</t>
  </si>
  <si>
    <t>Navas, Anyi</t>
  </si>
  <si>
    <t>Zerneno, Guadalupe</t>
  </si>
  <si>
    <t>Riaz, Rooha</t>
  </si>
  <si>
    <t>Vargas, Harry</t>
  </si>
  <si>
    <t>Bernardez, Daisy</t>
  </si>
  <si>
    <t>Campos Abreu, Elsa</t>
  </si>
  <si>
    <t>Garcia, Ivonne</t>
  </si>
  <si>
    <t>Dominguez Cruz, Blanca</t>
  </si>
  <si>
    <t>Zelaya, Wendy</t>
  </si>
  <si>
    <t>Sadni, Laila Z.</t>
  </si>
  <si>
    <t>Dandu, Kavitha</t>
  </si>
  <si>
    <t>Redden, Brit</t>
  </si>
  <si>
    <t>De Jesus Gonzalez, Juan Jacinto</t>
  </si>
  <si>
    <t>Arias Arevalo, Maritza</t>
  </si>
  <si>
    <t>Alvarez Enriquez, Abel</t>
  </si>
  <si>
    <t>Ilin, Pavel</t>
  </si>
  <si>
    <t>Portillo, Henry Coreas</t>
  </si>
  <si>
    <t>Portillo, Owen Coreas</t>
  </si>
  <si>
    <t>Doukoure, Ibrahim</t>
  </si>
  <si>
    <t>Ingram, Luis</t>
  </si>
  <si>
    <t>Izadi, Mohammad</t>
  </si>
  <si>
    <t>Rowana, Gangaya</t>
  </si>
  <si>
    <t>Hernandez, Andreina</t>
  </si>
  <si>
    <t>Hassin, Ali</t>
  </si>
  <si>
    <t>Lovos, Santos F.</t>
  </si>
  <si>
    <t>Wilks, Lenora</t>
  </si>
  <si>
    <t>Velazquez, Rafaela</t>
  </si>
  <si>
    <t>Sagastume Lagos, Denis Mauricio</t>
  </si>
  <si>
    <t>Tzul Tiu, Fernando Isaac</t>
  </si>
  <si>
    <t>Tzul Tiu, Guidman Aaron</t>
  </si>
  <si>
    <t>Tzul-Tiu, Guidman Aaron</t>
  </si>
  <si>
    <t>Fernandez, Aquiles</t>
  </si>
  <si>
    <t>Barrios Flores, Sharlian Berenice</t>
  </si>
  <si>
    <t>Cooper, Lucy</t>
  </si>
  <si>
    <t>Urbaez, Juana</t>
  </si>
  <si>
    <t>Delgado Mendez, Juan</t>
  </si>
  <si>
    <t>Zhong, Saiyin</t>
  </si>
  <si>
    <t>Kamara, Fatmata</t>
  </si>
  <si>
    <t>Lopez Ramirez, Karla Valentina</t>
  </si>
  <si>
    <t>Martinez-Palacios, Yolany</t>
  </si>
  <si>
    <t>Francisco Duran, Andry</t>
  </si>
  <si>
    <t>Medina Andrade, Gelyn N</t>
  </si>
  <si>
    <t>Guo, Yan li</t>
  </si>
  <si>
    <t>Ulybina, Anna</t>
  </si>
  <si>
    <t>Vidal Pastor, Dionila</t>
  </si>
  <si>
    <t>Reyes, Camelia</t>
  </si>
  <si>
    <t>Cedillo Sian, Luis Miguel Andres</t>
  </si>
  <si>
    <t>Ramirez, Ruben</t>
  </si>
  <si>
    <t>Garcia Canales, Shelly</t>
  </si>
  <si>
    <t>Chavarria Garcia, Ashlee Nicole</t>
  </si>
  <si>
    <t>Chavarria Garcia, Elda M</t>
  </si>
  <si>
    <t>Corrales Mayorga, Juilo Secundino</t>
  </si>
  <si>
    <t>Masesa, Gyslaine</t>
  </si>
  <si>
    <t>Vargas, Celia</t>
  </si>
  <si>
    <t>Jairam, Gaffiloom</t>
  </si>
  <si>
    <t>Linares, Candelaria</t>
  </si>
  <si>
    <t>Bernardez Zapata, Cinthia</t>
  </si>
  <si>
    <t>Bernardez Zapata, Vilma</t>
  </si>
  <si>
    <t>Modise, Michael</t>
  </si>
  <si>
    <t>Vilchez Cotrina, Vanessa</t>
  </si>
  <si>
    <t>Basdeo, Soamnauph</t>
  </si>
  <si>
    <t>Cisneros, Trifosa</t>
  </si>
  <si>
    <t>Guerrero Cabanas, Erika</t>
  </si>
  <si>
    <t>Ruiz Campaz, Alicia</t>
  </si>
  <si>
    <t>Tavarez, Josefina</t>
  </si>
  <si>
    <t>Randolph, Gleetha</t>
  </si>
  <si>
    <t>Jimenez, Eduvigis</t>
  </si>
  <si>
    <t>Marin Bernandez, Bacilia</t>
  </si>
  <si>
    <t>Sanchez Melendez, Kevin Asaac</t>
  </si>
  <si>
    <t>Elembaev, Ruslan</t>
  </si>
  <si>
    <t>Navas Contreras, Anyi Alicia</t>
  </si>
  <si>
    <t>Portillo Valdez, Yeimy</t>
  </si>
  <si>
    <t>Diallo, Saifoulaye</t>
  </si>
  <si>
    <t>Veitch, Damion A</t>
  </si>
  <si>
    <t>Chakrane, Dounia</t>
  </si>
  <si>
    <t>Alvarez, Ana</t>
  </si>
  <si>
    <t>Rodriguez, Maria</t>
  </si>
  <si>
    <t>Martinez, Francisca</t>
  </si>
  <si>
    <t>Molina, Rossie</t>
  </si>
  <si>
    <t>Bernard, Paula</t>
  </si>
  <si>
    <t>Acosta Cuervo, Leidy</t>
  </si>
  <si>
    <t>Songg, Priscilla</t>
  </si>
  <si>
    <t>Salas, Leonardo</t>
  </si>
  <si>
    <t>Torres Garcia, Keyden</t>
  </si>
  <si>
    <t>Rivera Cruz, Mauricio</t>
  </si>
  <si>
    <t>Rogers, Owen</t>
  </si>
  <si>
    <t>Veras, Johanna</t>
  </si>
  <si>
    <t>Antunez, Yesenia</t>
  </si>
  <si>
    <t>Vazquez Olivos, Honoria</t>
  </si>
  <si>
    <t>Sanwirja, Joyce Ann</t>
  </si>
  <si>
    <t>Bozkurt, Sertac</t>
  </si>
  <si>
    <t>Hernandez-Gomez, Jordan Loyan</t>
  </si>
  <si>
    <t>Barrientos, Pablo</t>
  </si>
  <si>
    <t>Morgan, Fayez</t>
  </si>
  <si>
    <t>Tyo, Igor</t>
  </si>
  <si>
    <t>Rivas, Jaime</t>
  </si>
  <si>
    <t>Flores Garcia, Jenny Ave</t>
  </si>
  <si>
    <t>Roveda, Eduardo</t>
  </si>
  <si>
    <t>Ramos, Valentina</t>
  </si>
  <si>
    <t>Molina, Francisca</t>
  </si>
  <si>
    <t>Hernandez Lazaro, Olga</t>
  </si>
  <si>
    <t>Ibeneme, David</t>
  </si>
  <si>
    <t>Yamundaw, Kebbeh</t>
  </si>
  <si>
    <t>Venceslau, Fernando</t>
  </si>
  <si>
    <t>Bejja, Kamal</t>
  </si>
  <si>
    <t>Foster, Ifakay</t>
  </si>
  <si>
    <t>Poma, Edwin P.</t>
  </si>
  <si>
    <t>Robinson, Shantall</t>
  </si>
  <si>
    <t>Batiz Martinez, Ana Vilma</t>
  </si>
  <si>
    <t>Lopez Benitez, Israel</t>
  </si>
  <si>
    <t>Lipovski, Olga</t>
  </si>
  <si>
    <t>Jabour, Myriam</t>
  </si>
  <si>
    <t>Tenorio, Edgar</t>
  </si>
  <si>
    <t>Narvaez, Nancy</t>
  </si>
  <si>
    <t>Azcona, Fabio</t>
  </si>
  <si>
    <t>Tong, Wanzhe</t>
  </si>
  <si>
    <t>Villano, Aureliano</t>
  </si>
  <si>
    <t>Wang, Dongzhi</t>
  </si>
  <si>
    <t>Carriel, Martha</t>
  </si>
  <si>
    <t>Frank, Patrick</t>
  </si>
  <si>
    <t>Aguirre Gomez, Dora Fries</t>
  </si>
  <si>
    <t>Guachiac, Reyna</t>
  </si>
  <si>
    <t>Cortes Reyes, Kairos Evelyn</t>
  </si>
  <si>
    <t>Joof, Babou</t>
  </si>
  <si>
    <t>Reid, Jervaughn F</t>
  </si>
  <si>
    <t>Bazan Basurto, Benita</t>
  </si>
  <si>
    <t>Ilomudio, Jolaade S</t>
  </si>
  <si>
    <t>Martinez - Fernandez, Ibelinn Vanessa</t>
  </si>
  <si>
    <t>Mejia Martinez, Ryan Janil</t>
  </si>
  <si>
    <t>Clarke, Dennis</t>
  </si>
  <si>
    <t>Hernandez, Viviana</t>
  </si>
  <si>
    <t>Arzu- Madrid, Isieny</t>
  </si>
  <si>
    <t>Reyes Castillo, Erlyn</t>
  </si>
  <si>
    <t>Marin Gonzalez, Dinia T</t>
  </si>
  <si>
    <t>Reyes, Julio Castillo</t>
  </si>
  <si>
    <t>Medina-Ramos, Belkis</t>
  </si>
  <si>
    <t>Searles, Raymond</t>
  </si>
  <si>
    <t>Echeverria, Marlin</t>
  </si>
  <si>
    <t>Alvarado Murillo, Delcy</t>
  </si>
  <si>
    <t>Robles Portillo, Suyapa</t>
  </si>
  <si>
    <t>Flores, Meynardo</t>
  </si>
  <si>
    <t>Bolvito Lopez, Ruben</t>
  </si>
  <si>
    <t>Basdeo, Paul N</t>
  </si>
  <si>
    <t>Benitez Reyes, Jose Florentino</t>
  </si>
  <si>
    <t>Pellicone, Marissa</t>
  </si>
  <si>
    <t>Taveras, Mariana</t>
  </si>
  <si>
    <t>Saha, Atish</t>
  </si>
  <si>
    <t>Xavier, Martha</t>
  </si>
  <si>
    <t>Zheng, Guifang</t>
  </si>
  <si>
    <t>Karpiuk, Beata</t>
  </si>
  <si>
    <t>Farciert, Araceli</t>
  </si>
  <si>
    <t>Adoumbaye, Bernice</t>
  </si>
  <si>
    <t>Thompson, Gawhane</t>
  </si>
  <si>
    <t>Martinez, Mattues Eliazar</t>
  </si>
  <si>
    <t>Martinez, Michael A</t>
  </si>
  <si>
    <t>Hernandez, Nalda</t>
  </si>
  <si>
    <t>Bonilla, Jose A</t>
  </si>
  <si>
    <t>Mieses, Cesareo</t>
  </si>
  <si>
    <t>Diallo, Thierno</t>
  </si>
  <si>
    <t>Figueroa, Jose</t>
  </si>
  <si>
    <t>Zamora, Carlos</t>
  </si>
  <si>
    <t>Peralta de Torres, Genara</t>
  </si>
  <si>
    <t>Syrtsov, Arkadii</t>
  </si>
  <si>
    <t>Bibi, Rukhasana</t>
  </si>
  <si>
    <t>Vazquez, Adolfo</t>
  </si>
  <si>
    <t>Muller, Sharmilla C</t>
  </si>
  <si>
    <t>Reyes Garcia, Jonathan</t>
  </si>
  <si>
    <t>Reyes Ortega, Heidy Yadira</t>
  </si>
  <si>
    <t>Hidalgo Reyes, Erika Joneydi</t>
  </si>
  <si>
    <t>Foster, Virginia O</t>
  </si>
  <si>
    <t>Ovbiebo, Stanley</t>
  </si>
  <si>
    <t>Sagastume Pineda, Denis Mauricio</t>
  </si>
  <si>
    <t>Lagos Martinez, Karla Loany</t>
  </si>
  <si>
    <t>Gomez Miranda, Xiomara</t>
  </si>
  <si>
    <t>Bonilla Palacios, Glenda</t>
  </si>
  <si>
    <t>Souare, Mamadou</t>
  </si>
  <si>
    <t>Urbina Licona, Maria Jose</t>
  </si>
  <si>
    <t>Pashaeva, Alina</t>
  </si>
  <si>
    <t>Mora, Logan</t>
  </si>
  <si>
    <t>Maldonado, Jonathan L</t>
  </si>
  <si>
    <t>Tiozang, Vincent (Helen)</t>
  </si>
  <si>
    <t>Tiozang, Vincent (Solomon)</t>
  </si>
  <si>
    <t>Tiozang, Vincent (Jones)</t>
  </si>
  <si>
    <t>Wasembeck, Joseph M</t>
  </si>
  <si>
    <t>Cortes  Xicohtencatl, Guadalupe</t>
  </si>
  <si>
    <t>Miller, Jogo</t>
  </si>
  <si>
    <t>Rojano-Godoy, Carmen</t>
  </si>
  <si>
    <t>Daniel, Kathleen</t>
  </si>
  <si>
    <t>Perez Peralta, Kilsa J</t>
  </si>
  <si>
    <t>Brade, Kevin</t>
  </si>
  <si>
    <t>Rasulov, Odiljon</t>
  </si>
  <si>
    <t>Barahona Ruiz, Jean Jafeth</t>
  </si>
  <si>
    <t>Verde Mendoza, Maynor Jareth</t>
  </si>
  <si>
    <t>Verde Mendoza, Maynor Janeth</t>
  </si>
  <si>
    <t>Cruz Gomez, Linney Sorayssi</t>
  </si>
  <si>
    <t>Cruz Gomez, Mizrahi Iram Hosseffet</t>
  </si>
  <si>
    <t>Perez Herrera, Magdalena</t>
  </si>
  <si>
    <t>Ixmata, Maria</t>
  </si>
  <si>
    <t>Adam, Sharnay</t>
  </si>
  <si>
    <t>Jimenez, Yliana</t>
  </si>
  <si>
    <t>Jeudi, Cleevens</t>
  </si>
  <si>
    <t>Andrade Vigil, Evelin Joselin</t>
  </si>
  <si>
    <t>Ramirez, Marcos</t>
  </si>
  <si>
    <t>Salazar Guevara, Kenia Yamilet</t>
  </si>
  <si>
    <t>Santos Salazar, Esdras Omar</t>
  </si>
  <si>
    <t>Tiu-Ordonez, Emiliana Cecilia</t>
  </si>
  <si>
    <t>Meza Rodriguez, Heiby A</t>
  </si>
  <si>
    <t>Cordova, Vilma</t>
  </si>
  <si>
    <t>Mejia, Hector</t>
  </si>
  <si>
    <t>Mejia, Maria</t>
  </si>
  <si>
    <t>David, Maria</t>
  </si>
  <si>
    <t>Costly, Marleen</t>
  </si>
  <si>
    <t>Mendoza Lameda, Geogeson Jose</t>
  </si>
  <si>
    <t>Baptiste, Carlton</t>
  </si>
  <si>
    <t>Naing, Moekyaw</t>
  </si>
  <si>
    <t>Silva Vazquez, Gabriela</t>
  </si>
  <si>
    <t>Watts-Johnston, Vanessa</t>
  </si>
  <si>
    <t>Aziz, Nauman</t>
  </si>
  <si>
    <t>Ordonez, Juana</t>
  </si>
  <si>
    <t>Lopez Lecaros, Luis Alberto</t>
  </si>
  <si>
    <t>Djonovic, Aise</t>
  </si>
  <si>
    <t>Lin, Fengjin</t>
  </si>
  <si>
    <t>Anderson, Ryando</t>
  </si>
  <si>
    <t>Alfonso, Mary</t>
  </si>
  <si>
    <t>Carlina, Pheches</t>
  </si>
  <si>
    <t>Abdallah, Mihad</t>
  </si>
  <si>
    <t>Velchez, Andrea</t>
  </si>
  <si>
    <t>Titre, Aldia</t>
  </si>
  <si>
    <t>Cokeker, Erbil</t>
  </si>
  <si>
    <t>Millan, Daniel</t>
  </si>
  <si>
    <t>Green, Nicola</t>
  </si>
  <si>
    <t>Velasquez, Cristopher</t>
  </si>
  <si>
    <t>Mejia Saravia, Jilaryn D</t>
  </si>
  <si>
    <t>Perez, Jeison</t>
  </si>
  <si>
    <t>Ozah, Oluwasegun</t>
  </si>
  <si>
    <t>Guerrero, Walter</t>
  </si>
  <si>
    <t>Chagdurov, Aleksandr</t>
  </si>
  <si>
    <t>Narine, Boysie</t>
  </si>
  <si>
    <t>Luma, Valery</t>
  </si>
  <si>
    <t>Carino Bravo, Severiana Basilia</t>
  </si>
  <si>
    <t>Ramirez, Jonas</t>
  </si>
  <si>
    <t>Naula Bermeo, Hilda</t>
  </si>
  <si>
    <t>Castrejon, Karla Elizabeth</t>
  </si>
  <si>
    <t>Nasser, Amadou</t>
  </si>
  <si>
    <t>Escobar Avilez, Micaelina</t>
  </si>
  <si>
    <t>Arzu, Jairo</t>
  </si>
  <si>
    <t>Leon, Carolina A</t>
  </si>
  <si>
    <t>Sulca, Jaime</t>
  </si>
  <si>
    <t>Velasquez Cal, Guisela M</t>
  </si>
  <si>
    <t>Castillo, Guadalupe</t>
  </si>
  <si>
    <t>Suazo Guerrero, Darlin</t>
  </si>
  <si>
    <t>Hosokawa, Midori</t>
  </si>
  <si>
    <t>Alegre Kopp, Sheila E</t>
  </si>
  <si>
    <t>Cid-Ortiz, Brisa Hinelda</t>
  </si>
  <si>
    <t>Portella Arteaga, Milena Teresa</t>
  </si>
  <si>
    <t>Sanic Tax, Sindi Mishel</t>
  </si>
  <si>
    <t>McFarlane, Izabela</t>
  </si>
  <si>
    <t>Barrientes Contreras, Angelica</t>
  </si>
  <si>
    <t>Caicedo, Gloria</t>
  </si>
  <si>
    <t>Cabral Pichardo, Mayker Jose</t>
  </si>
  <si>
    <t>Cabral Pichardo, Yaneysi Yamilet</t>
  </si>
  <si>
    <t>Gonzalez, Macaria Marbella</t>
  </si>
  <si>
    <t>Parra, Luis A</t>
  </si>
  <si>
    <t>Zapata-Santos, Keummy Arleth</t>
  </si>
  <si>
    <t>Waongho, Zita-Irene</t>
  </si>
  <si>
    <t>Loja Ugana, Olga Lucia</t>
  </si>
  <si>
    <t>Flores Maria, Jorge</t>
  </si>
  <si>
    <t>Samlal, Salena</t>
  </si>
  <si>
    <t>Santos Galvez, Gilberto</t>
  </si>
  <si>
    <t>Chinchilla, Lorenza</t>
  </si>
  <si>
    <t>Powis, Michael</t>
  </si>
  <si>
    <t>Daniels, Carol</t>
  </si>
  <si>
    <t>Duarte, Angelica</t>
  </si>
  <si>
    <t>Sewsankar, Bagwattie</t>
  </si>
  <si>
    <t>Almonte, Dulce</t>
  </si>
  <si>
    <t>Tineo Nunez, Ramon</t>
  </si>
  <si>
    <t>Barrera, Lorenza</t>
  </si>
  <si>
    <t>Todd, Jorge</t>
  </si>
  <si>
    <t>Escamilla Hernandez, Rocio</t>
  </si>
  <si>
    <t>Barcia, Victor</t>
  </si>
  <si>
    <t>Mcintosh, Kashima</t>
  </si>
  <si>
    <t>Kwabiah, Fahhad</t>
  </si>
  <si>
    <t>Osorio Andino, Levis Yanibis</t>
  </si>
  <si>
    <t>Quijije, Randy</t>
  </si>
  <si>
    <t>Galleguillos, Ismael E</t>
  </si>
  <si>
    <t>Taher, Abu</t>
  </si>
  <si>
    <t>Guzman, Rosario</t>
  </si>
  <si>
    <t>Cuello, Robelisa</t>
  </si>
  <si>
    <t>Roberts, Damian Bevon</t>
  </si>
  <si>
    <t>Jara, Ruth</t>
  </si>
  <si>
    <t>Hernandez, Emma G</t>
  </si>
  <si>
    <t>Husban Issa Husban, Mohammadnour</t>
  </si>
  <si>
    <t>Ustinov, Igor</t>
  </si>
  <si>
    <t>Peña, Ronaldo DeJuan</t>
  </si>
  <si>
    <t>Maradiaga, Dilan</t>
  </si>
  <si>
    <t>Garcia David, Brenda Eliz</t>
  </si>
  <si>
    <t>Montoya, Greisy</t>
  </si>
  <si>
    <t>Marquez Mejia, Yorleni Sarahi</t>
  </si>
  <si>
    <t>Valencia, Jorge</t>
  </si>
  <si>
    <t>Castro, Luis</t>
  </si>
  <si>
    <t>Isanoa, Diane</t>
  </si>
  <si>
    <t>Eugene, Betty</t>
  </si>
  <si>
    <t>Carreras, Domingo A.</t>
  </si>
  <si>
    <t>Rosales, Adriana</t>
  </si>
  <si>
    <t>Cepeda De Leon, Zhindel</t>
  </si>
  <si>
    <t>Peralta, Maria</t>
  </si>
  <si>
    <t>Chacin, Johan</t>
  </si>
  <si>
    <t>Zambrano, Gabriela</t>
  </si>
  <si>
    <t>Rodriguez, Sandra Cecilia</t>
  </si>
  <si>
    <t>Mashihi Mutondo Ngoma, Mymy</t>
  </si>
  <si>
    <t>Velasquez, Jessica</t>
  </si>
  <si>
    <t>Kolyvanov, Vitalii</t>
  </si>
  <si>
    <t>Gonzalez, Milena</t>
  </si>
  <si>
    <t>Nwe, Waine</t>
  </si>
  <si>
    <t>Pastor Mejia, Asencion</t>
  </si>
  <si>
    <t>Williams, Tino</t>
  </si>
  <si>
    <t>Bhuiyan, Mobassir</t>
  </si>
  <si>
    <t>Burke, Marcus</t>
  </si>
  <si>
    <t>Flores Arzu, Charlian A</t>
  </si>
  <si>
    <t>Yacono, Gabriel N</t>
  </si>
  <si>
    <t>Hernandez, Primitivo</t>
  </si>
  <si>
    <t>Manuel, Osvaldo</t>
  </si>
  <si>
    <t>Small, Anthony</t>
  </si>
  <si>
    <t>Izquierdo, Leonardo</t>
  </si>
  <si>
    <t>Acosta, Yosvany</t>
  </si>
  <si>
    <t>Jarjou, Emily Olimatou</t>
  </si>
  <si>
    <t>Papalotzi-Garcia, Judith</t>
  </si>
  <si>
    <t>Fariño, Douglas</t>
  </si>
  <si>
    <t>Valencia, Eliecer</t>
  </si>
  <si>
    <t>Markalson, Roman</t>
  </si>
  <si>
    <t>Na, Moon Woo</t>
  </si>
  <si>
    <t>Jaquez de Peralta, Selena</t>
  </si>
  <si>
    <t>Das, Soma</t>
  </si>
  <si>
    <t>Williams, Althea Rollock</t>
  </si>
  <si>
    <t>Milon, Popi</t>
  </si>
  <si>
    <t>Taylor, Sathelle K</t>
  </si>
  <si>
    <t>Bucup Calel, Vicente Fernando</t>
  </si>
  <si>
    <t>Youssef, Mohamed</t>
  </si>
  <si>
    <t>Pena Hernandez, Martha</t>
  </si>
  <si>
    <t>Cabrera, Angelita</t>
  </si>
  <si>
    <t>Leon Sanchez, Claudia</t>
  </si>
  <si>
    <t>Colon, Johanna</t>
  </si>
  <si>
    <t>Bernard, Donald</t>
  </si>
  <si>
    <t>Chmielewski, Danuta</t>
  </si>
  <si>
    <t>Perez, Amalia</t>
  </si>
  <si>
    <t>Navarro Perez, Nadia</t>
  </si>
  <si>
    <t>Diaz de Almonte, Samaria A.</t>
  </si>
  <si>
    <t>Maksimenko, Tatiana</t>
  </si>
  <si>
    <t>Naji, Soufiane</t>
  </si>
  <si>
    <t>Montero, Perla E</t>
  </si>
  <si>
    <t>Guzman Romero, Gloris</t>
  </si>
  <si>
    <t>Castillo, Luis</t>
  </si>
  <si>
    <t>Zamora Paisano, Michelle</t>
  </si>
  <si>
    <t>Luna Burgos, Meledy A</t>
  </si>
  <si>
    <t>Nunez, Ysabel</t>
  </si>
  <si>
    <t>Delgado Cantarero, Eliseo Sergio</t>
  </si>
  <si>
    <t>Nugra Saeteros, Maria</t>
  </si>
  <si>
    <t>Contreras, Rufina</t>
  </si>
  <si>
    <t>Idrovo Shindler, Svetlana</t>
  </si>
  <si>
    <t>Reyes Paulino, Maria Del Rosario</t>
  </si>
  <si>
    <t>Hidalgo, Eris</t>
  </si>
  <si>
    <t>Hidalgo Reyes, Jostin Omar</t>
  </si>
  <si>
    <t>Deen, Isaac</t>
  </si>
  <si>
    <t>Brathwaite, Winston Widmark</t>
  </si>
  <si>
    <t>Wefum, Joy</t>
  </si>
  <si>
    <t>Tinuade, Tinuola</t>
  </si>
  <si>
    <t>Romero Gonzalez, Susana B</t>
  </si>
  <si>
    <t>Mckenzie, Nuchette</t>
  </si>
  <si>
    <t>Alejo, Sofia</t>
  </si>
  <si>
    <t>Theophile, Jeanie P</t>
  </si>
  <si>
    <t>Feliz, Kenny</t>
  </si>
  <si>
    <t>Mijangos Sanchez, Melida Irma Ariseth</t>
  </si>
  <si>
    <t>Logan, Hunter</t>
  </si>
  <si>
    <t>Lopez, Amy</t>
  </si>
  <si>
    <t>Bermejo, Rosa Maria</t>
  </si>
  <si>
    <t>Dias Anderson, Samantha</t>
  </si>
  <si>
    <t>Diallo, Tiguidanke</t>
  </si>
  <si>
    <t>Lalmahamad, Arrefa</t>
  </si>
  <si>
    <t>Akuson, Richard</t>
  </si>
  <si>
    <t>Ramos, Marva</t>
  </si>
  <si>
    <t>Ramos, Peter</t>
  </si>
  <si>
    <t>Grullon, Paula</t>
  </si>
  <si>
    <t>Matthew, Grayson E</t>
  </si>
  <si>
    <t>Diaz-Urbina, Ana Francis</t>
  </si>
  <si>
    <t>Mishurov, Anatoly</t>
  </si>
  <si>
    <t>Velasquez, Zonia</t>
  </si>
  <si>
    <t>Hidalgo, Dileny</t>
  </si>
  <si>
    <t>De Leon Duran, Henry</t>
  </si>
  <si>
    <t>Mejia, Danny B</t>
  </si>
  <si>
    <t>Ogbonna, Kenneth</t>
  </si>
  <si>
    <t>Goncalves, Sandra</t>
  </si>
  <si>
    <t>Camacho, Alejandro</t>
  </si>
  <si>
    <t>Mohan, Joseph D</t>
  </si>
  <si>
    <t>Sall, Aguibou</t>
  </si>
  <si>
    <t>Payano Diaz, Marilyn</t>
  </si>
  <si>
    <t>Singh, Andrew</t>
  </si>
  <si>
    <t>Aragon, Michelle</t>
  </si>
  <si>
    <t>Avalos Alfallo, Lulu</t>
  </si>
  <si>
    <t>Wang, Quan</t>
  </si>
  <si>
    <t>Dominguez, Martina</t>
  </si>
  <si>
    <t>Azeeze, Kamroon N</t>
  </si>
  <si>
    <t>Chand, Cameel</t>
  </si>
  <si>
    <t>Zapata Florez, Mario</t>
  </si>
  <si>
    <t>Kuzmin, Valeriya</t>
  </si>
  <si>
    <t>Rivero, Pedro</t>
  </si>
  <si>
    <t>Hylton, Novellette</t>
  </si>
  <si>
    <t>Dia, Ibrahima</t>
  </si>
  <si>
    <t>Castro, Jazmin</t>
  </si>
  <si>
    <t>Castro, Marjorie</t>
  </si>
  <si>
    <t>Martinez, Massiel</t>
  </si>
  <si>
    <t>Alzaidy, Lawza</t>
  </si>
  <si>
    <t>Yetman, Jan-Adelle</t>
  </si>
  <si>
    <t>Lopez, Carmen C</t>
  </si>
  <si>
    <t>Doukoure, Mariam Soumahoro</t>
  </si>
  <si>
    <t>Doukoure, Aissatou</t>
  </si>
  <si>
    <t>Doukoure, Kadidia</t>
  </si>
  <si>
    <t>Tomekowou, Jessica</t>
  </si>
  <si>
    <t>Casco Lopez, Laura Isabel</t>
  </si>
  <si>
    <t>Laguna, Jair</t>
  </si>
  <si>
    <t>Yetman, Dale</t>
  </si>
  <si>
    <t>Peralta Perez, Maria Blanca</t>
  </si>
  <si>
    <t>Martinez, Hkristian</t>
  </si>
  <si>
    <t>Cacho Fernandez, Fausta</t>
  </si>
  <si>
    <t>Garcia Campos, Elvia</t>
  </si>
  <si>
    <t>Gonzalez, Ramon R</t>
  </si>
  <si>
    <t>Blanco, Julia</t>
  </si>
  <si>
    <t>Ardolic, Dzmile</t>
  </si>
  <si>
    <t>Throught, Jahlee</t>
  </si>
  <si>
    <t>Zapata, Elvin</t>
  </si>
  <si>
    <t>Peterson, Denise</t>
  </si>
  <si>
    <t>Jimenez, Angeles</t>
  </si>
  <si>
    <t>Lugo, Doris</t>
  </si>
  <si>
    <t>Cruz, Milagros</t>
  </si>
  <si>
    <t>Shamuratova, Alsu</t>
  </si>
  <si>
    <t>Barrera, Raquel</t>
  </si>
  <si>
    <t>Buchanan, Denzel</t>
  </si>
  <si>
    <t>Riggon, Renaldo</t>
  </si>
  <si>
    <t>Almanzar, Maria E</t>
  </si>
  <si>
    <t>Soza, Yensi</t>
  </si>
  <si>
    <t>Victorio, Leo</t>
  </si>
  <si>
    <t>Johnson, Nesi</t>
  </si>
  <si>
    <t>Da Silva, Darwin</t>
  </si>
  <si>
    <t>Flores Mira, Glenda Esmeralda</t>
  </si>
  <si>
    <t>Hutchinson, Pinky</t>
  </si>
  <si>
    <t>James, Christopher</t>
  </si>
  <si>
    <t>Dasse, Laurette</t>
  </si>
  <si>
    <t>Tisol Arias, Meison Ivan</t>
  </si>
  <si>
    <t>Gutierrez-Martinez, Elda Maritza</t>
  </si>
  <si>
    <t>Alikulov, Rustam</t>
  </si>
  <si>
    <t>Rodriguez, Eulogia</t>
  </si>
  <si>
    <t>Hussein, Waseem</t>
  </si>
  <si>
    <t>Molina, Saidy</t>
  </si>
  <si>
    <t>Gomez Cortez, Damaris Carina</t>
  </si>
  <si>
    <t>Eustate de Suarez, Marilelby</t>
  </si>
  <si>
    <t>Shaybout, Mervat</t>
  </si>
  <si>
    <t>Leon, Yoseli</t>
  </si>
  <si>
    <t>Desir, Gigi</t>
  </si>
  <si>
    <t>Santos, Perla Cristal</t>
  </si>
  <si>
    <t>Cuc-Garcia, Jose</t>
  </si>
  <si>
    <t>Medina Fuentes, Stephanie Nicoll</t>
  </si>
  <si>
    <t>Alatorre, Marcela E</t>
  </si>
  <si>
    <t>Pleshkanev, Alexander</t>
  </si>
  <si>
    <t>Guo, Lingfang</t>
  </si>
  <si>
    <t>Contreras, Lizdy</t>
  </si>
  <si>
    <t>Samassekou, Khadim</t>
  </si>
  <si>
    <t>Kuzmin, Aleksei</t>
  </si>
  <si>
    <t>Loots, Talia</t>
  </si>
  <si>
    <t>Zhalgas, Madina</t>
  </si>
  <si>
    <t>Garcia Ramirez, Tomasa</t>
  </si>
  <si>
    <t>Marshall, Johanna</t>
  </si>
  <si>
    <t>Satchell, Peta Gay</t>
  </si>
  <si>
    <t>Saravia Mejia, Igundani Daneiri</t>
  </si>
  <si>
    <t>Melendez Saravia, Brandi Odalis</t>
  </si>
  <si>
    <t>Zapata Ballesteros, Maria</t>
  </si>
  <si>
    <t>Seavichay, Tania</t>
  </si>
  <si>
    <t>Talibakhunova, Shirin Adilovna</t>
  </si>
  <si>
    <t>Mendoza Varela, Kenia Dalila</t>
  </si>
  <si>
    <t>Georges, Agnes</t>
  </si>
  <si>
    <t>Centeno, Nadia</t>
  </si>
  <si>
    <t>Hamidou, Aboubakari</t>
  </si>
  <si>
    <t>Farez, Leslie</t>
  </si>
  <si>
    <t>Mattis, Jabokie J</t>
  </si>
  <si>
    <t>Curtis, Nicholas</t>
  </si>
  <si>
    <t>Sandoval Rivera, Nestor</t>
  </si>
  <si>
    <t>Sandoval Polanco, Xochiltl</t>
  </si>
  <si>
    <t>Lewis, Kenisha</t>
  </si>
  <si>
    <t>Polanco Arrieta, Patricia</t>
  </si>
  <si>
    <t>Sabillon, Grebil</t>
  </si>
  <si>
    <t>Bermudez, Luis</t>
  </si>
  <si>
    <t>Hossain, Arman</t>
  </si>
  <si>
    <t>Myrie, Otis R</t>
  </si>
  <si>
    <t>Blanco Ortiz, Edinson</t>
  </si>
  <si>
    <t>Martinez Gutierrez, Gustavo</t>
  </si>
  <si>
    <t>Sementsova, Ekaterina</t>
  </si>
  <si>
    <t>Fam, Marven</t>
  </si>
  <si>
    <t>Louis, Jean</t>
  </si>
  <si>
    <t>Mena de Mejia, Rosa Maria</t>
  </si>
  <si>
    <t>Soto Gil, Roberto De Jesus</t>
  </si>
  <si>
    <t>Fernandez, Kendra Y</t>
  </si>
  <si>
    <t>Arieta, Roberto</t>
  </si>
  <si>
    <t>Abdul Rahman, Issaka</t>
  </si>
  <si>
    <t>Ryabokonov, Denis</t>
  </si>
  <si>
    <t>Simonov, Denis</t>
  </si>
  <si>
    <t>Kunene, Sikhumbuzo</t>
  </si>
  <si>
    <t>Bartley, Miriam</t>
  </si>
  <si>
    <t>Moran, Maribel</t>
  </si>
  <si>
    <t>Cumberbatch, Carla</t>
  </si>
  <si>
    <t>Bakayoko, Bill</t>
  </si>
  <si>
    <t>Mendoza, Nicanor</t>
  </si>
  <si>
    <t>Glasgow, Sherryann</t>
  </si>
  <si>
    <t>Moran Juarez, Jesus</t>
  </si>
  <si>
    <t>Ortiz, Henry H</t>
  </si>
  <si>
    <t>Singh, Nikita</t>
  </si>
  <si>
    <t>Mahabir, Sadia</t>
  </si>
  <si>
    <t>Garcia Chavez, Riccy Mabel</t>
  </si>
  <si>
    <t>Hernandez Romero, Citlaly</t>
  </si>
  <si>
    <t>Solis Romero, Yancy</t>
  </si>
  <si>
    <t>Payton, Gloria</t>
  </si>
  <si>
    <t>Loza, Karina</t>
  </si>
  <si>
    <t>Granados, Lorena Yanira</t>
  </si>
  <si>
    <t>Rojas, Julio Cesar</t>
  </si>
  <si>
    <t>Sop, Christiane Yolande</t>
  </si>
  <si>
    <t>Suru, Betty</t>
  </si>
  <si>
    <t>Hanley, Robert</t>
  </si>
  <si>
    <t>Diaby, Madala Djibril</t>
  </si>
  <si>
    <t>Bello, Carolina</t>
  </si>
  <si>
    <t>Jack, Paulina</t>
  </si>
  <si>
    <t>Quezada, Teresa</t>
  </si>
  <si>
    <t>Ramos Rosales, Carlos Javier</t>
  </si>
  <si>
    <t>Diamond, Curtis</t>
  </si>
  <si>
    <t>Harripaul, Mohanie</t>
  </si>
  <si>
    <t>Alvarez, Jose</t>
  </si>
  <si>
    <t>Kapran, Aleksandr</t>
  </si>
  <si>
    <t>Parungo, Angelbert</t>
  </si>
  <si>
    <t>Hernandez, Yeny</t>
  </si>
  <si>
    <t>Gonzalez, Lisette</t>
  </si>
  <si>
    <t>Morales, Esperanza</t>
  </si>
  <si>
    <t>Maurizaca, Jhennifer E</t>
  </si>
  <si>
    <t>Kabore, Evrou</t>
  </si>
  <si>
    <t>Annayev, Seydi</t>
  </si>
  <si>
    <t>Vargas, Veronica</t>
  </si>
  <si>
    <t>Diaby, Lacina</t>
  </si>
  <si>
    <t>Mera, Javier</t>
  </si>
  <si>
    <t>Simon (Jeremiah HAYNES), Rhonda</t>
  </si>
  <si>
    <t>Simon (Jada HAYNES), Rhonda</t>
  </si>
  <si>
    <t>Simon (Jameisha HAYNES), Rhonda</t>
  </si>
  <si>
    <t>Hanson, Kimanie</t>
  </si>
  <si>
    <t>Pogbene, Alidou</t>
  </si>
  <si>
    <t>Martinez-Lopez, Mario R.</t>
  </si>
  <si>
    <t>Rauseo Quijada, Mayerlin del Carmen</t>
  </si>
  <si>
    <t>Leslie, Romaine</t>
  </si>
  <si>
    <t>Foster, Jamal</t>
  </si>
  <si>
    <t>Hinds, Jamar</t>
  </si>
  <si>
    <t>Scott, Deidra</t>
  </si>
  <si>
    <t>Hernandez, Jacqueline T.</t>
  </si>
  <si>
    <t>Mohammad, Ahmad A</t>
  </si>
  <si>
    <t>Velasquez, Angela</t>
  </si>
  <si>
    <t>Maurizaca, Maria</t>
  </si>
  <si>
    <t>De La Cruz, Niurka</t>
  </si>
  <si>
    <t>Berrios, Felicia</t>
  </si>
  <si>
    <t>Camacho, Nancy</t>
  </si>
  <si>
    <t>Santos-Garcia, Cristian</t>
  </si>
  <si>
    <t>Ordonez, Martha</t>
  </si>
  <si>
    <t>Carabajo Hermida, Jose M</t>
  </si>
  <si>
    <t>Rivera Hernandez, Roberto B</t>
  </si>
  <si>
    <t>Saavedra, Roberto</t>
  </si>
  <si>
    <t>Ceballos- Gonzalez, Julian</t>
  </si>
  <si>
    <t>Bustamante, Rebeca</t>
  </si>
  <si>
    <t>Rodriguez, Carola</t>
  </si>
  <si>
    <t>Canelas, Vivian</t>
  </si>
  <si>
    <t>Perez, Maria</t>
  </si>
  <si>
    <t>Grant, Vera</t>
  </si>
  <si>
    <t>Herreros, Asuncion</t>
  </si>
  <si>
    <t>Cupid, Keisha</t>
  </si>
  <si>
    <t>Nunez Mora, Ana Mercedes</t>
  </si>
  <si>
    <t>Deolio, Jose</t>
  </si>
  <si>
    <t>Pavia Neri, Cupertino Cliserio</t>
  </si>
  <si>
    <t>Reyes Gonzalez, Jose David</t>
  </si>
  <si>
    <t>Paulino Garcia, Asuncion</t>
  </si>
  <si>
    <t>Alvarez, Arnold Juvencio</t>
  </si>
  <si>
    <t>Rodriguez Cepeda, Ezequiel</t>
  </si>
  <si>
    <t>Ali, Paula A</t>
  </si>
  <si>
    <t>De Jesus, Georgina</t>
  </si>
  <si>
    <t>Ramos Felipe, Rosa</t>
  </si>
  <si>
    <t>Acevedo, Slins</t>
  </si>
  <si>
    <t>Gonzalez-Colon, Airina</t>
  </si>
  <si>
    <t>Dauletzharova, Takhmina</t>
  </si>
  <si>
    <t>Hill, Sophia</t>
  </si>
  <si>
    <t>Portilla, Maria</t>
  </si>
  <si>
    <t>McTaggard, Stanley R</t>
  </si>
  <si>
    <t>Freeman, Paul</t>
  </si>
  <si>
    <t>Patk, Justyna</t>
  </si>
  <si>
    <t>Abreu, Leida</t>
  </si>
  <si>
    <t>Valera, Joan</t>
  </si>
  <si>
    <t>Henry, Leisha</t>
  </si>
  <si>
    <t>Chowdhury, Lovely</t>
  </si>
  <si>
    <t>Rojas, Tiffany</t>
  </si>
  <si>
    <t>Perez Vicente, Erick</t>
  </si>
  <si>
    <t>Perez Vicente, Luis Geovany</t>
  </si>
  <si>
    <t>Forbes, Margaret</t>
  </si>
  <si>
    <t>Charles, Piklin</t>
  </si>
  <si>
    <t>Ferrera Dominguez, Masciel</t>
  </si>
  <si>
    <t>Tejeda, Flor</t>
  </si>
  <si>
    <t>Delcid Rapalo, Marvin</t>
  </si>
  <si>
    <t>Torres, Tania</t>
  </si>
  <si>
    <t>Rybak, Adam</t>
  </si>
  <si>
    <t>Marine De Vargas, Maria</t>
  </si>
  <si>
    <t>Camacho Silven, Eulalia Dinora</t>
  </si>
  <si>
    <t>Correa, Sorledy</t>
  </si>
  <si>
    <t>Bissoon, Twinkle</t>
  </si>
  <si>
    <t>Brooks, Sarahlee</t>
  </si>
  <si>
    <t>Canales Enamorado, Oscar</t>
  </si>
  <si>
    <t>Enamorado-Hernandez, Heidy</t>
  </si>
  <si>
    <t>Diaz - De Collado, Maria</t>
  </si>
  <si>
    <t>Tavarez, Reinaldo</t>
  </si>
  <si>
    <t>Agustin, Elizabeth</t>
  </si>
  <si>
    <t>Herrera, Gilda</t>
  </si>
  <si>
    <t>Zebulon, Andrea</t>
  </si>
  <si>
    <t>Mercedes Moreno, Berkis Rafelina Alexandra</t>
  </si>
  <si>
    <t>Ordonez Rivera, Martha A</t>
  </si>
  <si>
    <t>De Rojas, Maria G</t>
  </si>
  <si>
    <t>Aguilar Martinez, Jesus</t>
  </si>
  <si>
    <t>Bravo Lopez, Daniela</t>
  </si>
  <si>
    <t>Vasilev, Rustam</t>
  </si>
  <si>
    <t>Lopez, Tania</t>
  </si>
  <si>
    <t>Guzman Montero, Ramon A.</t>
  </si>
  <si>
    <t>Kavaliou, Aliaksandr</t>
  </si>
  <si>
    <t>Satchell, Flowers A</t>
  </si>
  <si>
    <t>Martinez, Gladis</t>
  </si>
  <si>
    <t>Toribio Castillo, Cindy P</t>
  </si>
  <si>
    <t>Guerrero, Gloria</t>
  </si>
  <si>
    <t>Guimaraes Da Silva, Elineide</t>
  </si>
  <si>
    <t>Ba, Abou</t>
  </si>
  <si>
    <t>Meredith, Leeamoy Alisha</t>
  </si>
  <si>
    <t>Ryan, Raheem</t>
  </si>
  <si>
    <t>Rhoden, Nathaniel Andrew</t>
  </si>
  <si>
    <t>Aguilar, Josefina</t>
  </si>
  <si>
    <t>Garvey, Andrianna N</t>
  </si>
  <si>
    <t>King, Henry</t>
  </si>
  <si>
    <t>Rosas Mendez, Daniel</t>
  </si>
  <si>
    <t>Li, Ning</t>
  </si>
  <si>
    <t>Flores, Yireni</t>
  </si>
  <si>
    <t>Cruz Pacheco, Sahory</t>
  </si>
  <si>
    <t>Cruz Pacheco, Jennifer</t>
  </si>
  <si>
    <t>Cruz Pacheco, Joseph</t>
  </si>
  <si>
    <t>Khoury, Rafael</t>
  </si>
  <si>
    <t>Reid, Barbara</t>
  </si>
  <si>
    <t>Reyez Diaz, Geremias</t>
  </si>
  <si>
    <t>Owusu, Lydia</t>
  </si>
  <si>
    <t>Lopez, Olga L</t>
  </si>
  <si>
    <t>Montemayor, Elizabeth</t>
  </si>
  <si>
    <t>Nieto Duque, Blanca</t>
  </si>
  <si>
    <t>Kadir, Fadia</t>
  </si>
  <si>
    <t>Manzano, Erasmo</t>
  </si>
  <si>
    <t>Clemente Ramirez, Anderson Neptaly</t>
  </si>
  <si>
    <t>Chavez, Maria</t>
  </si>
  <si>
    <t>Tomas Martinez, Edna Marina</t>
  </si>
  <si>
    <t>Amaya Perez, Belladira</t>
  </si>
  <si>
    <t>Metilelu, Oluwaseyi A</t>
  </si>
  <si>
    <t>Sancho Zumba, Dioselina</t>
  </si>
  <si>
    <t>Napoleon Louis, Darline</t>
  </si>
  <si>
    <t>Marcano, Merici</t>
  </si>
  <si>
    <t>Hernandez Ferrer de Cuello, Maribel</t>
  </si>
  <si>
    <t>Waheed, Jasna Mina</t>
  </si>
  <si>
    <t>Loka, Amanda</t>
  </si>
  <si>
    <t>Mansour, Wesam</t>
  </si>
  <si>
    <t>Borga, Manuel</t>
  </si>
  <si>
    <t>Polanco Estrella, Consuelo A</t>
  </si>
  <si>
    <t>Gaymon, Jarrett</t>
  </si>
  <si>
    <t>Sweeny, Barbara</t>
  </si>
  <si>
    <t>Castillo, Nilsa</t>
  </si>
  <si>
    <t>Toribio, Xiomara</t>
  </si>
  <si>
    <t>Santos de Hernandez, Rosalba</t>
  </si>
  <si>
    <t>Shields, Annette</t>
  </si>
  <si>
    <t>Ruiz Escobar, Eudocia A</t>
  </si>
  <si>
    <t>Gomez, Lino</t>
  </si>
  <si>
    <t>Suero, Jhony</t>
  </si>
  <si>
    <t>Vidals, Aaron F</t>
  </si>
  <si>
    <t>Gomez, Elizabeth</t>
  </si>
  <si>
    <t>Rosendo, Yudith Lucia</t>
  </si>
  <si>
    <t>Alcantara, Ceneyli</t>
  </si>
  <si>
    <t>Hagley, Kathleen</t>
  </si>
  <si>
    <t>Mendez, Luis</t>
  </si>
  <si>
    <t>Lozada, Jhodie</t>
  </si>
  <si>
    <t>Pitcairn, Shermayne Lance</t>
  </si>
  <si>
    <t>Sanchez, Olga</t>
  </si>
  <si>
    <t>Richards, Jahlani</t>
  </si>
  <si>
    <t>Carbonell, Maireny</t>
  </si>
  <si>
    <t>Gonzalez, Nidia</t>
  </si>
  <si>
    <t>Rosales, Aurelia</t>
  </si>
  <si>
    <t>Ferguson, Cecil D</t>
  </si>
  <si>
    <t>Robinson, Simone</t>
  </si>
  <si>
    <t>Nicholas, Raymond W</t>
  </si>
  <si>
    <t>Vargas Tolentino, Cenaida</t>
  </si>
  <si>
    <t>De Aza, Octavio R</t>
  </si>
  <si>
    <t>Reid, Kenneth Ivan</t>
  </si>
  <si>
    <t>Levy, Dawn Elizabeth Marie</t>
  </si>
  <si>
    <t>Reyes, Cesar</t>
  </si>
  <si>
    <t>Gray, Delano</t>
  </si>
  <si>
    <t>James, Elvina</t>
  </si>
  <si>
    <t>Hernandez, Lissette</t>
  </si>
  <si>
    <t>Garcia Garcia, Sneyder</t>
  </si>
  <si>
    <t>Bahja, Rajmonda</t>
  </si>
  <si>
    <t>Fernandez, Jocelin</t>
  </si>
  <si>
    <t>Clarke, Michael D</t>
  </si>
  <si>
    <t>Chavez Chicas, Yesli</t>
  </si>
  <si>
    <t>Cruz Dominguez, Fransheska</t>
  </si>
  <si>
    <t>Miranda, Kehila Yahisset</t>
  </si>
  <si>
    <t>Shaikh, Mussarat</t>
  </si>
  <si>
    <t>Barcia, Jose</t>
  </si>
  <si>
    <t>Moronta, Rosa M.</t>
  </si>
  <si>
    <t>Smalling, Doreen</t>
  </si>
  <si>
    <t>Perechu Tzep, Yessica Marleny</t>
  </si>
  <si>
    <t>Tiozang  (Solomon), Vincent</t>
  </si>
  <si>
    <t>Tiozang  (Jones), Vincent</t>
  </si>
  <si>
    <t>Romero, Rosalinda</t>
  </si>
  <si>
    <t>De Jesus, Carlos</t>
  </si>
  <si>
    <t>Alkharouf, Shadi</t>
  </si>
  <si>
    <t>Dixon, Kerema</t>
  </si>
  <si>
    <t>McDowell, Jasmine</t>
  </si>
  <si>
    <t>Baptiste, Rose</t>
  </si>
  <si>
    <t>Mamathojaev, Asror</t>
  </si>
  <si>
    <t>Clarke Balin, Dianne</t>
  </si>
  <si>
    <t>Duff, Kui Sahara</t>
  </si>
  <si>
    <t>Valle, Alenna</t>
  </si>
  <si>
    <t>Pak, Hyoncha</t>
  </si>
  <si>
    <t>Reyes Alvarado, Elia</t>
  </si>
  <si>
    <t>Jimenez, Mabel</t>
  </si>
  <si>
    <t>ramdass, Kamal P</t>
  </si>
  <si>
    <t>Gaynor, Sylvia</t>
  </si>
  <si>
    <t>Botina, Exenover</t>
  </si>
  <si>
    <t>Rodriguez, Henrry</t>
  </si>
  <si>
    <t>Melendez Velasquez, Bertha Isela</t>
  </si>
  <si>
    <t>Perez, Nolberto</t>
  </si>
  <si>
    <t>Perez, Ruth C</t>
  </si>
  <si>
    <t>Friday, Charlene</t>
  </si>
  <si>
    <t>Reyes, Angela</t>
  </si>
  <si>
    <t>Jimenez Rodriguez, Lisbeth Pamela</t>
  </si>
  <si>
    <t>Almonte, Sugeiry</t>
  </si>
  <si>
    <t>Anderson, Sonia May</t>
  </si>
  <si>
    <t>Basurto, Luzelbi</t>
  </si>
  <si>
    <t>Sanon, Marie Gladis</t>
  </si>
  <si>
    <t>Mpia, Carine</t>
  </si>
  <si>
    <t>Morgan, Milad</t>
  </si>
  <si>
    <t>Sandiford, Brittany</t>
  </si>
  <si>
    <t>Romero Saldana, Carolina</t>
  </si>
  <si>
    <t>Campbell, Alousius</t>
  </si>
  <si>
    <t>Rojas, Elvira</t>
  </si>
  <si>
    <t>Ruiz, Karmina</t>
  </si>
  <si>
    <t>Kaybeleva, Yelena</t>
  </si>
  <si>
    <t>Medina, Raquel</t>
  </si>
  <si>
    <t>Arias, Alexis</t>
  </si>
  <si>
    <t>Cole, Sharmaine</t>
  </si>
  <si>
    <t>Gray, Natasha</t>
  </si>
  <si>
    <t>Sterling, Valrita</t>
  </si>
  <si>
    <t>Akkuns, Gorkem</t>
  </si>
  <si>
    <t>Tardio, Luis H</t>
  </si>
  <si>
    <t>Plasencia, Rosa Nery</t>
  </si>
  <si>
    <t>Moonsammy, Sindamanie</t>
  </si>
  <si>
    <t>Barrientos, Eva</t>
  </si>
  <si>
    <t>Alvarez, Ariel</t>
  </si>
  <si>
    <t>Joseph, Blenda</t>
  </si>
  <si>
    <t>Setal, Raymond</t>
  </si>
  <si>
    <t>Guevara Castro, Osman Gerardo</t>
  </si>
  <si>
    <t>Thompson, Sherid</t>
  </si>
  <si>
    <t>Armstrong, Kathleen</t>
  </si>
  <si>
    <t>Diaz Montes, Millie</t>
  </si>
  <si>
    <t>Linares Diaz, Arnold Isaac</t>
  </si>
  <si>
    <t>Clarke, Ramone</t>
  </si>
  <si>
    <t>Persaud, Jasodra</t>
  </si>
  <si>
    <t>Thiombiano, Abdoulaziz</t>
  </si>
  <si>
    <t>Cameron, Noreen</t>
  </si>
  <si>
    <t>Martinez Cordova, Yency</t>
  </si>
  <si>
    <t>Hiraldo, Jordani</t>
  </si>
  <si>
    <t>Vera, Jose</t>
  </si>
  <si>
    <t>Fuentez Solis, Elsy</t>
  </si>
  <si>
    <t>Jung, Mi Ja</t>
  </si>
  <si>
    <t>St Sume, Marie</t>
  </si>
  <si>
    <t>Nshimiyimana, Dogon</t>
  </si>
  <si>
    <t>Aboulezz, Baher</t>
  </si>
  <si>
    <t>Lluilema Paltan, Diego Vinicio</t>
  </si>
  <si>
    <t>Lema Morocho, Lourdes Piedad</t>
  </si>
  <si>
    <t>Bandeira, Joao Paulo</t>
  </si>
  <si>
    <t>Morocho Tenemaza, Tanya Maribel</t>
  </si>
  <si>
    <t>Cardoza Nevarez, Maria de los Angeles</t>
  </si>
  <si>
    <t>Rodriguez, Yazmin</t>
  </si>
  <si>
    <t>Marquez, Maria Petronila</t>
  </si>
  <si>
    <t>Rosales Cardona, Luis David</t>
  </si>
  <si>
    <t>Melara Sanchez, Alva Maria</t>
  </si>
  <si>
    <t>Brown, Shauna-Lee</t>
  </si>
  <si>
    <t>Smith, Carmeta</t>
  </si>
  <si>
    <t>Licona, Flor</t>
  </si>
  <si>
    <t>Rojas, Yefren</t>
  </si>
  <si>
    <t>Brim, Russell</t>
  </si>
  <si>
    <t>Mangubat, John L</t>
  </si>
  <si>
    <t>Mantuano, Ana</t>
  </si>
  <si>
    <t>Ahmed, Tarek</t>
  </si>
  <si>
    <t>Aria, Ana</t>
  </si>
  <si>
    <t>Colon, Guillerma</t>
  </si>
  <si>
    <t>Cedillo Dominguez, Orlando</t>
  </si>
  <si>
    <t>Feliz, Sayury</t>
  </si>
  <si>
    <t>Lammy, Eldon</t>
  </si>
  <si>
    <t>Mullings, Dane</t>
  </si>
  <si>
    <t>Estevez, Carmen</t>
  </si>
  <si>
    <t>Cardenas Gallego, Thomas</t>
  </si>
  <si>
    <t>Akter, Salma</t>
  </si>
  <si>
    <t>Cardona Alvarenga, Keishla Rocio</t>
  </si>
  <si>
    <t>McDonald, Carlos</t>
  </si>
  <si>
    <t>Vega, Flerida Yolanda</t>
  </si>
  <si>
    <t>Ramirez, Orlando</t>
  </si>
  <si>
    <t>Menza, Doly Yaneth</t>
  </si>
  <si>
    <t>Heckstall, Patricia</t>
  </si>
  <si>
    <t>Delos Santos, Rosa</t>
  </si>
  <si>
    <t>Choi, Hayung</t>
  </si>
  <si>
    <t>VARGAS, ELIZABETH</t>
  </si>
  <si>
    <t>Hernandez, Roger</t>
  </si>
  <si>
    <t>Paredes, Lanier</t>
  </si>
  <si>
    <t>Ugursu, Belgin</t>
  </si>
  <si>
    <t>Portillo Moran, Andis Manrique</t>
  </si>
  <si>
    <t>Stewart, Talisa Rushelle</t>
  </si>
  <si>
    <t>Garcia, Margarita</t>
  </si>
  <si>
    <t>Gutierrez, Brayan</t>
  </si>
  <si>
    <t>Salvi, Maria</t>
  </si>
  <si>
    <t>Talbi, Samir</t>
  </si>
  <si>
    <t>Minier, Berenice</t>
  </si>
  <si>
    <t>Chiji, Chinonso</t>
  </si>
  <si>
    <t>James, Geneva</t>
  </si>
  <si>
    <t>Graham, Nadine</t>
  </si>
  <si>
    <t>Leyva Hernandez, Paulina</t>
  </si>
  <si>
    <t>Madrid Gutierrez, Fernanda</t>
  </si>
  <si>
    <t>Wade, Victoria</t>
  </si>
  <si>
    <t>Frances De Andrades, Soraya</t>
  </si>
  <si>
    <t>Wilson Wieland, Cherille</t>
  </si>
  <si>
    <t>Harris, Roshannee</t>
  </si>
  <si>
    <t>Bryan, Alesia Therecian</t>
  </si>
  <si>
    <t>Canales Maradiaga, Brithany Josely</t>
  </si>
  <si>
    <t>Canales Maradiaga, Edwin Yadiel</t>
  </si>
  <si>
    <t>Canales Maradiaga, Kenner Jared</t>
  </si>
  <si>
    <t>Orozco Anaya, Neyla</t>
  </si>
  <si>
    <t>Julu, Babysister</t>
  </si>
  <si>
    <t>Vargas, Josefina</t>
  </si>
  <si>
    <t>Leo, Roberto</t>
  </si>
  <si>
    <t>Williams, Audriana</t>
  </si>
  <si>
    <t>Toure, Awa</t>
  </si>
  <si>
    <t>Ahmed, Syed</t>
  </si>
  <si>
    <t>Bassallo, Fernando</t>
  </si>
  <si>
    <t>Nicholson, Andrew</t>
  </si>
  <si>
    <t>Dymov, Yevgeniy</t>
  </si>
  <si>
    <t>Talla, Celestin</t>
  </si>
  <si>
    <t>Harbajan, Keisha</t>
  </si>
  <si>
    <t>Santiago, Leticia</t>
  </si>
  <si>
    <t>Registe, Marie Erilia</t>
  </si>
  <si>
    <t>Ramirez, Sandra</t>
  </si>
  <si>
    <t>Taverez, Waldy</t>
  </si>
  <si>
    <t>De La Cruz Rodriguez, Xiomara</t>
  </si>
  <si>
    <t>Hernandez Nunez, Luisa</t>
  </si>
  <si>
    <t>Abubakar, Saeed</t>
  </si>
  <si>
    <t>Ramraj, Ganesh</t>
  </si>
  <si>
    <t>Ramirez, Renzo</t>
  </si>
  <si>
    <t>Kone, Losseni</t>
  </si>
  <si>
    <t>Betancur, Maria Salome</t>
  </si>
  <si>
    <t>Alrubaii, Zahralyemen</t>
  </si>
  <si>
    <t>Romero, Fabiola</t>
  </si>
  <si>
    <t>Estrada, Ruth</t>
  </si>
  <si>
    <t>Pantoja Benavides, Noe</t>
  </si>
  <si>
    <t>Flores, Andrea</t>
  </si>
  <si>
    <t>Morastitla, Teodora</t>
  </si>
  <si>
    <t>Hernandez, Catalina</t>
  </si>
  <si>
    <t>Tula, Elizabeth</t>
  </si>
  <si>
    <t>Ramos Norales, Angel</t>
  </si>
  <si>
    <t>Garcia, Pablo</t>
  </si>
  <si>
    <t>Onyenagada, Nnelly P</t>
  </si>
  <si>
    <t>Youssef, Mario</t>
  </si>
  <si>
    <t>Youssef, Martina</t>
  </si>
  <si>
    <t>Wahba, Seham</t>
  </si>
  <si>
    <t>Enriquez, Ricardo</t>
  </si>
  <si>
    <t>Martinez, Silvia</t>
  </si>
  <si>
    <t>Stavropoulos, Maria J</t>
  </si>
  <si>
    <t>Naraine, Christopher H</t>
  </si>
  <si>
    <t>Calderon, Erika</t>
  </si>
  <si>
    <t>Vasquez, Emma</t>
  </si>
  <si>
    <t>Ortiz, Mariam</t>
  </si>
  <si>
    <t>Silverio, Rosa</t>
  </si>
  <si>
    <t>Saint Louis, Nogah</t>
  </si>
  <si>
    <t>Popov, Stanislav</t>
  </si>
  <si>
    <t>Gabriel Quezada, Henrry A</t>
  </si>
  <si>
    <t>Segovia, Edson</t>
  </si>
  <si>
    <t>Alvarez Ramirez, Yainia Arali</t>
  </si>
  <si>
    <t>Johnson, Ranique</t>
  </si>
  <si>
    <t>Zhagui Bravo, Ana</t>
  </si>
  <si>
    <t>Guillauville, Jeanne Andrea</t>
  </si>
  <si>
    <t>Ferrer, Cleopatra</t>
  </si>
  <si>
    <t>Diaz, Delmi</t>
  </si>
  <si>
    <t>Cardona Alvarenga, Keyla</t>
  </si>
  <si>
    <t>Rodriguez Blanco, Meralyn Yohami</t>
  </si>
  <si>
    <t>Rodriguez Blanco, Angel Emanuel</t>
  </si>
  <si>
    <t>Hernandez, Iris</t>
  </si>
  <si>
    <t>Perez Cartagena, Loany</t>
  </si>
  <si>
    <t>Alvarado Perez, Rosangela Giccel</t>
  </si>
  <si>
    <t>Moran Malpica Malpica, Yamilet</t>
  </si>
  <si>
    <t>Gomez Moran, Jesus Yosmar</t>
  </si>
  <si>
    <t>Padilla, Angelica</t>
  </si>
  <si>
    <t>Norales Aranda, Josias</t>
  </si>
  <si>
    <t>Hamilton, Clinton S</t>
  </si>
  <si>
    <t>Mitchell, Ricardo</t>
  </si>
  <si>
    <t>Cabrerra, Luciano</t>
  </si>
  <si>
    <t>Mahgoub, Ahmed R</t>
  </si>
  <si>
    <t>Aparicio, Mayra</t>
  </si>
  <si>
    <t>Torres, Emelia H</t>
  </si>
  <si>
    <t>Frias, Carmen</t>
  </si>
  <si>
    <t>Garcia-Loreto, Isidora</t>
  </si>
  <si>
    <t>Dominguez, Alejandra</t>
  </si>
  <si>
    <t>Qiam, Yuming</t>
  </si>
  <si>
    <t>Wynter, Cranston</t>
  </si>
  <si>
    <t>Hernandez, Edras</t>
  </si>
  <si>
    <t>Dedier Moore, Jason</t>
  </si>
  <si>
    <t>Gutierrez, Ana Lidia</t>
  </si>
  <si>
    <t>Lew, Beverly</t>
  </si>
  <si>
    <t>Bratu, Georgeta</t>
  </si>
  <si>
    <t>Guevara Castro, Osman</t>
  </si>
  <si>
    <t>De Jesus Frias, America Maria</t>
  </si>
  <si>
    <t>Williams, Claudette</t>
  </si>
  <si>
    <t>Asfaw, Getachew</t>
  </si>
  <si>
    <t>Martinez, Pauline</t>
  </si>
  <si>
    <t>Lopez, Alexander</t>
  </si>
  <si>
    <t>Clarke, Kadeen</t>
  </si>
  <si>
    <t>Crawford, Grace</t>
  </si>
  <si>
    <t>Sanchez Gomez, Maria Soledad</t>
  </si>
  <si>
    <t>Cruz, Victoriano</t>
  </si>
  <si>
    <t>Brown, Stefano</t>
  </si>
  <si>
    <t>Calderon, Irene</t>
  </si>
  <si>
    <t>Salazar-Moronta, Luis</t>
  </si>
  <si>
    <t>Chery, Germaine</t>
  </si>
  <si>
    <t>Arias Falcon, Ramon A</t>
  </si>
  <si>
    <t>Anwar, Waqas</t>
  </si>
  <si>
    <t>Weeks, Erna</t>
  </si>
  <si>
    <t>Javed, Suleman</t>
  </si>
  <si>
    <t>Gray  (Tajmar), Delano</t>
  </si>
  <si>
    <t>Archer, Maureen</t>
  </si>
  <si>
    <t>Castillo, Angela</t>
  </si>
  <si>
    <t>Iagudin, Timur</t>
  </si>
  <si>
    <t>Flores, Ismael</t>
  </si>
  <si>
    <t>Ingram, Gerardo M</t>
  </si>
  <si>
    <t>Avila Navarrete, Rene</t>
  </si>
  <si>
    <t>Navarrete Reyes, Marciala</t>
  </si>
  <si>
    <t>Campbell, Sahra</t>
  </si>
  <si>
    <t>Demedetskaya, Yael</t>
  </si>
  <si>
    <t>Demedetskiy, Andrey</t>
  </si>
  <si>
    <t>Rosario, Angela</t>
  </si>
  <si>
    <t>Severino, Antonia</t>
  </si>
  <si>
    <t>Avila Navarrete, Tzitlali</t>
  </si>
  <si>
    <t>Gomez, Yanet</t>
  </si>
  <si>
    <t>Alexander, Lystra</t>
  </si>
  <si>
    <t>Padilla, Marina</t>
  </si>
  <si>
    <t>Bautista De Los Santos, Yesica</t>
  </si>
  <si>
    <t>Bautista De Los Santos, Joel</t>
  </si>
  <si>
    <t>Antonio Martinez, Perla</t>
  </si>
  <si>
    <t>Santelli, Marie</t>
  </si>
  <si>
    <t>Jones, Noel</t>
  </si>
  <si>
    <t>Pina De La Cruz, Carlos Daniel</t>
  </si>
  <si>
    <t>De La Cruz, Jeremy</t>
  </si>
  <si>
    <t>Rodriguez, Ana</t>
  </si>
  <si>
    <t>Rodriguez, Sara De Los Angeles</t>
  </si>
  <si>
    <t>Jorge, Maria</t>
  </si>
  <si>
    <t>Bastardo, Genesis</t>
  </si>
  <si>
    <t>Navarette, Audencia</t>
  </si>
  <si>
    <t>Okhotnikov, Nikolai</t>
  </si>
  <si>
    <t>Bermudez Figueroa, Estefany Y</t>
  </si>
  <si>
    <t>Bermudez Figueroa, Ronald Joel</t>
  </si>
  <si>
    <t>Claros Sanchez, Marcos E</t>
  </si>
  <si>
    <t>Sanchez Flores, Oscar J</t>
  </si>
  <si>
    <t>Blanco De Garcia, Ingrid Albertina</t>
  </si>
  <si>
    <t>James, Rickein</t>
  </si>
  <si>
    <t>McDonald, Kirk</t>
  </si>
  <si>
    <t>Mahabir, NO GIVEN NAME</t>
  </si>
  <si>
    <t>Wong, Suet Wong</t>
  </si>
  <si>
    <t>Flores, Raymundo</t>
  </si>
  <si>
    <t>Cornielle, Donna</t>
  </si>
  <si>
    <t>Aluwihare, Sashin</t>
  </si>
  <si>
    <t>Grichev, Dmitrii</t>
  </si>
  <si>
    <t>Dolor, Gervin</t>
  </si>
  <si>
    <t>Erazo Sarmiento, Alexandra</t>
  </si>
  <si>
    <t>Andrade Vijil, Evelin J</t>
  </si>
  <si>
    <t>Ramos, Zoila</t>
  </si>
  <si>
    <t>Enamorado-Hernandez, Heidi</t>
  </si>
  <si>
    <t>De Los Santos, Zenaida</t>
  </si>
  <si>
    <t>Pineda Chicas, Ana</t>
  </si>
  <si>
    <t>Pryce, Raymond R</t>
  </si>
  <si>
    <t>Ally, Subhan</t>
  </si>
  <si>
    <t>Perea, Yolanda</t>
  </si>
  <si>
    <t>Kerr-Deans, Moya</t>
  </si>
  <si>
    <t>Abreu, Ramon</t>
  </si>
  <si>
    <t>Carino, Rosalba</t>
  </si>
  <si>
    <t>Zadani, Fath</t>
  </si>
  <si>
    <t>Ghosh, Joyashree</t>
  </si>
  <si>
    <t>Sokhna, Aminata</t>
  </si>
  <si>
    <t>Giraldo, Jenny</t>
  </si>
  <si>
    <t>Gomez, Ivan F</t>
  </si>
  <si>
    <t>Beckford-Duffault, Dennekia</t>
  </si>
  <si>
    <t>Kim, Haeran</t>
  </si>
  <si>
    <t>Corona, Armando</t>
  </si>
  <si>
    <t>Mehdi, Syed</t>
  </si>
  <si>
    <t>Garcia, Yanena</t>
  </si>
  <si>
    <t>Singh, Bibi H</t>
  </si>
  <si>
    <t>Raskin, Viktoriya</t>
  </si>
  <si>
    <t>Corado Cortez, Andres Alfonso</t>
  </si>
  <si>
    <t>Harbajan, Curtis</t>
  </si>
  <si>
    <t>Harbajan, Kyle Kristoff</t>
  </si>
  <si>
    <t>Fam, Mamdouh</t>
  </si>
  <si>
    <t>Mateo, Alba</t>
  </si>
  <si>
    <t>Shiamsundar, Marvin</t>
  </si>
  <si>
    <t>Ekweanya, Victor Somtochukwu</t>
  </si>
  <si>
    <t>Ramirez, Cesar Samuel</t>
  </si>
  <si>
    <t>Irias, Nilcen</t>
  </si>
  <si>
    <t>Philip, Bernice</t>
  </si>
  <si>
    <t>Lopez, Diomedes</t>
  </si>
  <si>
    <t>Cadiz Vda de Camacho, Emma</t>
  </si>
  <si>
    <t>Sarmiento, Gloria</t>
  </si>
  <si>
    <t>Lyuman, Sevil</t>
  </si>
  <si>
    <t>Paulino, Georgina D</t>
  </si>
  <si>
    <t>Guzman, Yanira</t>
  </si>
  <si>
    <t>Brackett, Hilda M</t>
  </si>
  <si>
    <t>Altamirano Espana, Victor A</t>
  </si>
  <si>
    <t>Altamirano, Juan</t>
  </si>
  <si>
    <t>Gustavi, Anna</t>
  </si>
  <si>
    <t>Martinez de lo Santos, Yolanny</t>
  </si>
  <si>
    <t>Martinez, Esdras</t>
  </si>
  <si>
    <t>Ortiz-Cruzel, Eriberto</t>
  </si>
  <si>
    <t>Han-Kufner, Jungwon</t>
  </si>
  <si>
    <t>Chicas Rodriguez, Leslie</t>
  </si>
  <si>
    <t>Sethi, Parth</t>
  </si>
  <si>
    <t>Nunez, Francisco</t>
  </si>
  <si>
    <t>Reneau, Cherry M</t>
  </si>
  <si>
    <t>Jacob, Catherine</t>
  </si>
  <si>
    <t>Jacob, Beena</t>
  </si>
  <si>
    <t>Nkwocha, Michael</t>
  </si>
  <si>
    <t>Castro, Delia</t>
  </si>
  <si>
    <t>Medina, Anthony</t>
  </si>
  <si>
    <t>Mironov, Aleksandr</t>
  </si>
  <si>
    <t>Pacheco, Nilcer</t>
  </si>
  <si>
    <t>Eleshin, Adiza</t>
  </si>
  <si>
    <t>Arriola, Eric Steven</t>
  </si>
  <si>
    <t>Coats Acosta, Rene Alejandro</t>
  </si>
  <si>
    <t>Smith-Williams, Elecia</t>
  </si>
  <si>
    <t>Rambarrack, Moneshwar</t>
  </si>
  <si>
    <t>Martinez, Rosa</t>
  </si>
  <si>
    <t>Shefild, Dmitry</t>
  </si>
  <si>
    <t>Rivera, Nancy R</t>
  </si>
  <si>
    <t>Gonzalez, karina</t>
  </si>
  <si>
    <t>Navid, Sadia</t>
  </si>
  <si>
    <t>Mena, Gladys</t>
  </si>
  <si>
    <t>Montero, Ruben</t>
  </si>
  <si>
    <t>Smith, Kennard</t>
  </si>
  <si>
    <t>Straughter, Adela</t>
  </si>
  <si>
    <t>Bowen-Ellis, Conrado Eduardo</t>
  </si>
  <si>
    <t>Mwiza, Leah</t>
  </si>
  <si>
    <t>Velasquez, Herminia V</t>
  </si>
  <si>
    <t>Robinson, Heather</t>
  </si>
  <si>
    <t>Martinez Vasquez, Jose Antonio</t>
  </si>
  <si>
    <t>Martinez Moreno, William</t>
  </si>
  <si>
    <t>Terrero, Domingo</t>
  </si>
  <si>
    <t>Kabore, Azatta</t>
  </si>
  <si>
    <t>Asere, Richard</t>
  </si>
  <si>
    <t>Quezada, Carlos</t>
  </si>
  <si>
    <t>Sarabia, Idelma</t>
  </si>
  <si>
    <t>Neya, Emmanuel</t>
  </si>
  <si>
    <t>Cabrera, Veronica</t>
  </si>
  <si>
    <t>Garcia Santos, Eugenio Antonio</t>
  </si>
  <si>
    <t>Yilmaz, Ezgi</t>
  </si>
  <si>
    <t>Gbapaywhea, Samuel</t>
  </si>
  <si>
    <t>Chiche, Maria</t>
  </si>
  <si>
    <t>Perkins, Janice B</t>
  </si>
  <si>
    <t>Steele, Keinda</t>
  </si>
  <si>
    <t>Zverev, Evgeny</t>
  </si>
  <si>
    <t>Gutierrez, Lourdes</t>
  </si>
  <si>
    <t>Arizmendi Garcia, Alexa</t>
  </si>
  <si>
    <t>Ghebreigziabiher, Aregash</t>
  </si>
  <si>
    <t>Del Rosario, Victor</t>
  </si>
  <si>
    <t>Ramos, Elsa</t>
  </si>
  <si>
    <t>Mendez, Alma</t>
  </si>
  <si>
    <t>Herrera, Vinicio De Jesus</t>
  </si>
  <si>
    <t>Rodriguez de Gomez, Ydalia</t>
  </si>
  <si>
    <t>Muniz, Jesus</t>
  </si>
  <si>
    <t>Lozano, Dionicia</t>
  </si>
  <si>
    <t>Reyes, Dilma M</t>
  </si>
  <si>
    <t>Guity Fernandez, Lesly</t>
  </si>
  <si>
    <t>Molyneaux, Santa</t>
  </si>
  <si>
    <t>Tapia, Annette</t>
  </si>
  <si>
    <t>Rojas, Lucia</t>
  </si>
  <si>
    <t>Lindsay, Gilma</t>
  </si>
  <si>
    <t>Rodrigez, Camen Y.</t>
  </si>
  <si>
    <t>Amaya, German A</t>
  </si>
  <si>
    <t>Torres, Elisa Antonia</t>
  </si>
  <si>
    <t>Mohabir, Deolall</t>
  </si>
  <si>
    <t>Lorenzo, Yobanis</t>
  </si>
  <si>
    <t>De Los Angeles Garcia, Maria</t>
  </si>
  <si>
    <t>Lopez, Telma</t>
  </si>
  <si>
    <t>Saavedra, Carmelo</t>
  </si>
  <si>
    <t>Torrez Romero, Johnny D.</t>
  </si>
  <si>
    <t>Nimbabaje, Jacqueline</t>
  </si>
  <si>
    <t>Bilic, Sandra</t>
  </si>
  <si>
    <t>Agajumayev, Guvanch</t>
  </si>
  <si>
    <t>Cuevas Castillo, Negrin Alberto</t>
  </si>
  <si>
    <t>Keita, Doussou</t>
  </si>
  <si>
    <t>Lopez Hernandez, Andrea</t>
  </si>
  <si>
    <t>Barreno, Jonathan</t>
  </si>
  <si>
    <t>Contreras Cortorreal, Joandry</t>
  </si>
  <si>
    <t>Aisakhunova, Jackie</t>
  </si>
  <si>
    <t>Fernandez, Francisca</t>
  </si>
  <si>
    <t>Borges, Miguel</t>
  </si>
  <si>
    <t>Adewuyi, Adelekan</t>
  </si>
  <si>
    <t>Sic Xitumul, Gladys Yanira</t>
  </si>
  <si>
    <t>sanchez, Arelis</t>
  </si>
  <si>
    <t>Ualiyev, Daniyar</t>
  </si>
  <si>
    <t>Zhuravlev, Maksim</t>
  </si>
  <si>
    <t>Appalsammy, Droubadie</t>
  </si>
  <si>
    <t>Rosado Paulino, Pura Aida C</t>
  </si>
  <si>
    <t>Perez, Sonia</t>
  </si>
  <si>
    <t>Latyshev, Sergei</t>
  </si>
  <si>
    <t>Stupina, Mariia</t>
  </si>
  <si>
    <t>Vasquez, Matilde</t>
  </si>
  <si>
    <t>Kim, Hyunhee</t>
  </si>
  <si>
    <t>Luzin, Kirill</t>
  </si>
  <si>
    <t>Singh, Lucia</t>
  </si>
  <si>
    <t>Vazquez, Jacqueline</t>
  </si>
  <si>
    <t>Hernandez, Gabriel</t>
  </si>
  <si>
    <t>Martinez, Julio C</t>
  </si>
  <si>
    <t>Perez Cartagena, Emerson Jafeth</t>
  </si>
  <si>
    <t>Husbands, Shelly</t>
  </si>
  <si>
    <t>Okine, Wilfred</t>
  </si>
  <si>
    <t>Caceres Luna, Mariel M</t>
  </si>
  <si>
    <t>Ortega, Armando</t>
  </si>
  <si>
    <t>Miranda Cordova, Estephany E</t>
  </si>
  <si>
    <t>McCrary, Nadine</t>
  </si>
  <si>
    <t>Rivera- Duran, Salomon</t>
  </si>
  <si>
    <t>Ramirez, Ingrid</t>
  </si>
  <si>
    <t>Agostino, Anna</t>
  </si>
  <si>
    <t>Patino- Gutierrez, Maria Theresa</t>
  </si>
  <si>
    <t>Colon, Indiana</t>
  </si>
  <si>
    <t>Guzman, Ivonne</t>
  </si>
  <si>
    <t>Escobar, Yury</t>
  </si>
  <si>
    <t>Esin, Vadim</t>
  </si>
  <si>
    <t>Lino Garcia, Nahomy</t>
  </si>
  <si>
    <t>Golovin, Ilya</t>
  </si>
  <si>
    <t>Perez, Yulis</t>
  </si>
  <si>
    <t>Arzu, Sotero</t>
  </si>
  <si>
    <t>Chavez, Miriam</t>
  </si>
  <si>
    <t>Murillo Cartagena, Reina</t>
  </si>
  <si>
    <t>Navarro Murillo, Luis Alonso</t>
  </si>
  <si>
    <t>Vinnik, Andrey</t>
  </si>
  <si>
    <t>Toure, Fanta</t>
  </si>
  <si>
    <t>Kalashnikov, Boris</t>
  </si>
  <si>
    <t>Malakhov, Roman</t>
  </si>
  <si>
    <t>Kiselev, Ilya</t>
  </si>
  <si>
    <t>Pleshkov, Andrey</t>
  </si>
  <si>
    <t>Lachugin, Ilya</t>
  </si>
  <si>
    <t>Portillo, Jennifer</t>
  </si>
  <si>
    <t>Baten Rojas, Lionel</t>
  </si>
  <si>
    <t>Estime, James</t>
  </si>
  <si>
    <t>Orihuela, Roxana</t>
  </si>
  <si>
    <t>Savin, Igor</t>
  </si>
  <si>
    <t>Maradiaga Alvarado, Jeimy</t>
  </si>
  <si>
    <t>Zou, Jin Ying</t>
  </si>
  <si>
    <t>Enriquez Vivar, Claudia</t>
  </si>
  <si>
    <t>Sheriff, Umaru</t>
  </si>
  <si>
    <t>Raja, Mohamed Javaid</t>
  </si>
  <si>
    <t>Dominguez Montes, Andres</t>
  </si>
  <si>
    <t>Tulay, Sarah</t>
  </si>
  <si>
    <t>Kataballi, Daywatti</t>
  </si>
  <si>
    <t>Bravo Bolanos, Heladio</t>
  </si>
  <si>
    <t>Mayen Rodriguez, Xavier</t>
  </si>
  <si>
    <t>Gueye, Sabrina</t>
  </si>
  <si>
    <t>Galindo Almazo, America</t>
  </si>
  <si>
    <t>Viruel, Alvaro</t>
  </si>
  <si>
    <t>Sosa, Leonides</t>
  </si>
  <si>
    <t>Herrera, Alejandro</t>
  </si>
  <si>
    <t>Austin, Anthony A</t>
  </si>
  <si>
    <t>Zenteno, Celia</t>
  </si>
  <si>
    <t>Navarro Moran, Darcedalia</t>
  </si>
  <si>
    <t>Soankopo Ghislane, Nikiema</t>
  </si>
  <si>
    <t>Colon-Miguel, Cintia</t>
  </si>
  <si>
    <t>Orea, Arely</t>
  </si>
  <si>
    <t>Lopez, Elida</t>
  </si>
  <si>
    <t>Garcia, Jesucita</t>
  </si>
  <si>
    <t>Sanango Chabla, Maria Hilda</t>
  </si>
  <si>
    <t>Arzumanyants, Janna</t>
  </si>
  <si>
    <t>I-912</t>
  </si>
  <si>
    <t>I-90</t>
  </si>
  <si>
    <t>220 Wage/Hour Claims</t>
  </si>
  <si>
    <t>I-360 SIJS</t>
  </si>
  <si>
    <t>I-589 Defensive</t>
  </si>
  <si>
    <t>I-765</t>
  </si>
  <si>
    <t>I-192</t>
  </si>
  <si>
    <t>I-918A</t>
  </si>
  <si>
    <t>I-589 Affirmative</t>
  </si>
  <si>
    <t>311 Custody</t>
  </si>
  <si>
    <t>Removal Defense</t>
  </si>
  <si>
    <t>I-918</t>
  </si>
  <si>
    <t>I-821D</t>
  </si>
  <si>
    <t>DS-260</t>
  </si>
  <si>
    <t>I-485 Defensive</t>
  </si>
  <si>
    <t>I-360 VAWA Self-Petition</t>
  </si>
  <si>
    <t>N-400</t>
  </si>
  <si>
    <t>I-485 Affirmative</t>
  </si>
  <si>
    <t>I-539</t>
  </si>
  <si>
    <t>I-914A</t>
  </si>
  <si>
    <t>I-751</t>
  </si>
  <si>
    <t>339 Guardianship</t>
  </si>
  <si>
    <t>I-130</t>
  </si>
  <si>
    <t>AOS I-130</t>
  </si>
  <si>
    <t>G-639</t>
  </si>
  <si>
    <t>EOIR-42B</t>
  </si>
  <si>
    <t>N-600</t>
  </si>
  <si>
    <t>340 Name Change</t>
  </si>
  <si>
    <t>I-914</t>
  </si>
  <si>
    <t>I-730</t>
  </si>
  <si>
    <t>N-565</t>
  </si>
  <si>
    <t>I-131 Refugee Travel Document</t>
  </si>
  <si>
    <t>I-290B AAO appeal</t>
  </si>
  <si>
    <t>3290 Respondent (Abuse No Custody No Property)</t>
  </si>
  <si>
    <t>I-290B  Motion to Reopen/Reconsider</t>
  </si>
  <si>
    <t>327 Uncontested Divorce</t>
  </si>
  <si>
    <t>I-821</t>
  </si>
  <si>
    <t>Public Charge</t>
  </si>
  <si>
    <t>314 Relative Custody</t>
  </si>
  <si>
    <t>I-864</t>
  </si>
  <si>
    <t>EOIR-33/IC</t>
  </si>
  <si>
    <t>I-131 Humanitarian parole</t>
  </si>
  <si>
    <t>I-601A</t>
  </si>
  <si>
    <t>AOS (Not I-130)</t>
  </si>
  <si>
    <t>I-131 Advanced Parole</t>
  </si>
  <si>
    <t>I-601</t>
  </si>
  <si>
    <t>DS-160</t>
  </si>
  <si>
    <t>N-336</t>
  </si>
  <si>
    <t>I-290B</t>
  </si>
  <si>
    <t>I-864W</t>
  </si>
  <si>
    <t>I-589</t>
  </si>
  <si>
    <t>I-485</t>
  </si>
  <si>
    <t>I-824</t>
  </si>
  <si>
    <t>I-212</t>
  </si>
  <si>
    <t>Representation - Admin. Agency</t>
  </si>
  <si>
    <t>Out-of-Court Advocacy</t>
  </si>
  <si>
    <t>Representation—EOIR</t>
  </si>
  <si>
    <t>Hold For Review</t>
  </si>
  <si>
    <t>Representation - State Court</t>
  </si>
  <si>
    <t>Advice</t>
  </si>
  <si>
    <t>Brief Service</t>
  </si>
  <si>
    <t>Representation - Federal Court</t>
  </si>
  <si>
    <t>Needs DHCI Form</t>
  </si>
  <si>
    <t>test</t>
  </si>
  <si>
    <t>Yes</t>
  </si>
  <si>
    <t>No</t>
  </si>
  <si>
    <t>Needs Income Waiver</t>
  </si>
  <si>
    <t>Needs Cleanup</t>
  </si>
  <si>
    <t>Tier 1</t>
  </si>
  <si>
    <t>Brief</t>
  </si>
  <si>
    <t>Tier 2 (other)</t>
  </si>
  <si>
    <t>Tier 2 (minor removal)</t>
  </si>
  <si>
    <t>Tier 2 (removal)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</si>
</sst>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258"/>
  <sheetViews>
    <sheetView tabSelected="1" workbookViewId="0"/>
  </sheetViews>
  <sheetFormatPr defaultRowHeight="15"/>
  <cols>
    <col min="1" max="1" width="20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>
        <f>HYPERLINK("https://cms.ls-nyc.org/matter/dynamic-profile/view/1902451","19-1902451")</f>
        <v>0</v>
      </c>
      <c r="B2" t="s">
        <v>10</v>
      </c>
      <c r="C2" t="s">
        <v>16</v>
      </c>
      <c r="D2" t="s">
        <v>64</v>
      </c>
      <c r="G2" t="s">
        <v>1861</v>
      </c>
      <c r="J2" t="s">
        <v>1866</v>
      </c>
    </row>
    <row r="3" spans="1:10">
      <c r="A3" s="1">
        <f>HYPERLINK("https://cms.ls-nyc.org/matter/dynamic-profile/view/1902348","19-1902348")</f>
        <v>0</v>
      </c>
      <c r="B3" t="s">
        <v>10</v>
      </c>
      <c r="C3" t="s">
        <v>16</v>
      </c>
      <c r="D3" t="s">
        <v>65</v>
      </c>
      <c r="E3" t="s">
        <v>1799</v>
      </c>
      <c r="F3" t="s">
        <v>1853</v>
      </c>
      <c r="H3" t="s">
        <v>1863</v>
      </c>
      <c r="J3" t="s">
        <v>1867</v>
      </c>
    </row>
    <row r="4" spans="1:10">
      <c r="A4" s="1">
        <f>HYPERLINK("https://cms.ls-nyc.org/matter/dynamic-profile/view/1902142","19-1902142")</f>
        <v>0</v>
      </c>
      <c r="B4" t="s">
        <v>10</v>
      </c>
      <c r="C4" t="s">
        <v>17</v>
      </c>
      <c r="D4" t="s">
        <v>66</v>
      </c>
      <c r="E4" t="s">
        <v>1799</v>
      </c>
      <c r="F4" t="s">
        <v>1853</v>
      </c>
      <c r="H4" t="s">
        <v>1863</v>
      </c>
      <c r="J4" t="s">
        <v>1867</v>
      </c>
    </row>
    <row r="5" spans="1:10">
      <c r="A5" s="1">
        <f>HYPERLINK("https://cms.ls-nyc.org/matter/dynamic-profile/view/1902147","19-1902147")</f>
        <v>0</v>
      </c>
      <c r="B5" t="s">
        <v>10</v>
      </c>
      <c r="C5" t="s">
        <v>16</v>
      </c>
      <c r="D5" t="s">
        <v>67</v>
      </c>
      <c r="E5" t="s">
        <v>1799</v>
      </c>
      <c r="F5" t="s">
        <v>1853</v>
      </c>
      <c r="H5" t="s">
        <v>1863</v>
      </c>
      <c r="J5" t="s">
        <v>1867</v>
      </c>
    </row>
    <row r="6" spans="1:10">
      <c r="A6" s="1">
        <f>HYPERLINK("https://cms.ls-nyc.org/matter/dynamic-profile/view/1902162","19-1902162")</f>
        <v>0</v>
      </c>
      <c r="B6" t="s">
        <v>10</v>
      </c>
      <c r="C6" t="s">
        <v>16</v>
      </c>
      <c r="D6" t="s">
        <v>68</v>
      </c>
      <c r="E6" t="s">
        <v>1800</v>
      </c>
      <c r="F6" t="s">
        <v>1853</v>
      </c>
      <c r="H6" t="s">
        <v>1863</v>
      </c>
      <c r="J6" t="s">
        <v>1867</v>
      </c>
    </row>
    <row r="7" spans="1:10">
      <c r="A7" s="1">
        <f>HYPERLINK("https://cms.ls-nyc.org/matter/dynamic-profile/view/1902190","19-1902190")</f>
        <v>0</v>
      </c>
      <c r="B7" t="s">
        <v>10</v>
      </c>
      <c r="C7" t="s">
        <v>16</v>
      </c>
      <c r="D7" t="s">
        <v>69</v>
      </c>
      <c r="G7" t="s">
        <v>1861</v>
      </c>
      <c r="J7" t="s">
        <v>1866</v>
      </c>
    </row>
    <row r="8" spans="1:10">
      <c r="A8" s="1">
        <f>HYPERLINK("https://cms.ls-nyc.org/matter/dynamic-profile/view/1902198","19-1902198")</f>
        <v>0</v>
      </c>
      <c r="B8" t="s">
        <v>10</v>
      </c>
      <c r="C8" t="s">
        <v>16</v>
      </c>
      <c r="D8" t="s">
        <v>70</v>
      </c>
      <c r="G8" t="s">
        <v>1861</v>
      </c>
      <c r="J8" t="s">
        <v>1866</v>
      </c>
    </row>
    <row r="9" spans="1:10">
      <c r="A9" s="1">
        <f>HYPERLINK("https://cms.ls-nyc.org/matter/dynamic-profile/view/1902209","19-1902209")</f>
        <v>0</v>
      </c>
      <c r="B9" t="s">
        <v>10</v>
      </c>
      <c r="C9" t="s">
        <v>16</v>
      </c>
      <c r="D9" t="s">
        <v>71</v>
      </c>
      <c r="G9" t="s">
        <v>1861</v>
      </c>
      <c r="J9" t="s">
        <v>1866</v>
      </c>
    </row>
    <row r="10" spans="1:10">
      <c r="A10" s="1">
        <f>HYPERLINK("https://cms.ls-nyc.org/matter/dynamic-profile/view/1902242","19-1902242")</f>
        <v>0</v>
      </c>
      <c r="B10" t="s">
        <v>11</v>
      </c>
      <c r="C10" t="s">
        <v>18</v>
      </c>
      <c r="D10" t="s">
        <v>72</v>
      </c>
      <c r="G10" t="s">
        <v>1861</v>
      </c>
      <c r="J10" t="s">
        <v>1866</v>
      </c>
    </row>
    <row r="11" spans="1:10">
      <c r="A11" s="1">
        <f>HYPERLINK("https://cms.ls-nyc.org/matter/dynamic-profile/view/1902262","19-1902262")</f>
        <v>0</v>
      </c>
      <c r="B11" t="s">
        <v>12</v>
      </c>
      <c r="C11" t="s">
        <v>19</v>
      </c>
      <c r="D11" t="s">
        <v>73</v>
      </c>
      <c r="E11" t="s">
        <v>1801</v>
      </c>
      <c r="F11" t="s">
        <v>1854</v>
      </c>
      <c r="G11" t="s">
        <v>1861</v>
      </c>
      <c r="J11" t="s">
        <v>1868</v>
      </c>
    </row>
    <row r="12" spans="1:10">
      <c r="A12" s="1">
        <f>HYPERLINK("https://cms.ls-nyc.org/matter/dynamic-profile/view/1902122","19-1902122")</f>
        <v>0</v>
      </c>
      <c r="B12" t="s">
        <v>10</v>
      </c>
      <c r="C12" t="s">
        <v>17</v>
      </c>
      <c r="D12" t="s">
        <v>74</v>
      </c>
      <c r="E12" t="s">
        <v>1799</v>
      </c>
      <c r="F12" t="s">
        <v>1853</v>
      </c>
      <c r="H12" t="s">
        <v>1863</v>
      </c>
      <c r="J12" t="s">
        <v>1867</v>
      </c>
    </row>
    <row r="13" spans="1:10">
      <c r="A13" s="1">
        <f>HYPERLINK("https://cms.ls-nyc.org/matter/dynamic-profile/view/1902123","19-1902123")</f>
        <v>0</v>
      </c>
      <c r="B13" t="s">
        <v>10</v>
      </c>
      <c r="C13" t="s">
        <v>16</v>
      </c>
      <c r="D13" t="s">
        <v>75</v>
      </c>
      <c r="E13" t="s">
        <v>1799</v>
      </c>
      <c r="F13" t="s">
        <v>1853</v>
      </c>
      <c r="H13" t="s">
        <v>1863</v>
      </c>
      <c r="J13" t="s">
        <v>1867</v>
      </c>
    </row>
    <row r="14" spans="1:10">
      <c r="A14" s="1">
        <f>HYPERLINK("https://cms.ls-nyc.org/matter/dynamic-profile/view/1902124","19-1902124")</f>
        <v>0</v>
      </c>
      <c r="B14" t="s">
        <v>10</v>
      </c>
      <c r="C14" t="s">
        <v>16</v>
      </c>
      <c r="D14" t="s">
        <v>76</v>
      </c>
      <c r="E14" t="s">
        <v>1799</v>
      </c>
      <c r="F14" t="s">
        <v>1853</v>
      </c>
      <c r="H14" t="s">
        <v>1863</v>
      </c>
      <c r="J14" t="s">
        <v>1867</v>
      </c>
    </row>
    <row r="15" spans="1:10">
      <c r="A15" s="1">
        <f>HYPERLINK("https://cms.ls-nyc.org/matter/dynamic-profile/view/1902125","19-1902125")</f>
        <v>0</v>
      </c>
      <c r="B15" t="s">
        <v>10</v>
      </c>
      <c r="C15" t="s">
        <v>16</v>
      </c>
      <c r="D15" t="s">
        <v>77</v>
      </c>
      <c r="E15" t="s">
        <v>1799</v>
      </c>
      <c r="F15" t="s">
        <v>1853</v>
      </c>
      <c r="H15" t="s">
        <v>1863</v>
      </c>
      <c r="J15" t="s">
        <v>1867</v>
      </c>
    </row>
    <row r="16" spans="1:10">
      <c r="A16" s="1">
        <f>HYPERLINK("https://cms.ls-nyc.org/matter/dynamic-profile/view/1902128","19-1902128")</f>
        <v>0</v>
      </c>
      <c r="B16" t="s">
        <v>10</v>
      </c>
      <c r="C16" t="s">
        <v>17</v>
      </c>
      <c r="D16" t="s">
        <v>78</v>
      </c>
      <c r="E16" t="s">
        <v>1799</v>
      </c>
      <c r="F16" t="s">
        <v>1853</v>
      </c>
      <c r="H16" t="s">
        <v>1863</v>
      </c>
      <c r="J16" t="s">
        <v>1867</v>
      </c>
    </row>
    <row r="17" spans="1:10">
      <c r="A17" s="1">
        <f>HYPERLINK("https://cms.ls-nyc.org/matter/dynamic-profile/view/1902131","19-1902131")</f>
        <v>0</v>
      </c>
      <c r="B17" t="s">
        <v>10</v>
      </c>
      <c r="C17" t="s">
        <v>17</v>
      </c>
      <c r="D17" t="s">
        <v>79</v>
      </c>
      <c r="E17" t="s">
        <v>1799</v>
      </c>
      <c r="F17" t="s">
        <v>1853</v>
      </c>
      <c r="H17" t="s">
        <v>1863</v>
      </c>
      <c r="J17" t="s">
        <v>1867</v>
      </c>
    </row>
    <row r="18" spans="1:10">
      <c r="A18" s="1">
        <f>HYPERLINK("https://cms.ls-nyc.org/matter/dynamic-profile/view/1901964","19-1901964")</f>
        <v>0</v>
      </c>
      <c r="B18" t="s">
        <v>12</v>
      </c>
      <c r="C18" t="s">
        <v>20</v>
      </c>
      <c r="D18" t="s">
        <v>80</v>
      </c>
      <c r="E18" t="s">
        <v>1802</v>
      </c>
      <c r="H18" t="s">
        <v>1863</v>
      </c>
      <c r="J18" t="s">
        <v>1869</v>
      </c>
    </row>
    <row r="19" spans="1:10">
      <c r="A19" s="1">
        <f>HYPERLINK("https://cms.ls-nyc.org/matter/dynamic-profile/view/1901965","19-1901965")</f>
        <v>0</v>
      </c>
      <c r="B19" t="s">
        <v>12</v>
      </c>
      <c r="C19" t="s">
        <v>20</v>
      </c>
      <c r="D19" t="s">
        <v>81</v>
      </c>
      <c r="E19" t="s">
        <v>1803</v>
      </c>
      <c r="F19" t="s">
        <v>1855</v>
      </c>
      <c r="H19" t="s">
        <v>1863</v>
      </c>
      <c r="J19" t="s">
        <v>1870</v>
      </c>
    </row>
    <row r="20" spans="1:10">
      <c r="A20" s="1">
        <f>HYPERLINK("https://cms.ls-nyc.org/matter/dynamic-profile/view/1901966","19-1901966")</f>
        <v>0</v>
      </c>
      <c r="B20" t="s">
        <v>12</v>
      </c>
      <c r="C20" t="s">
        <v>20</v>
      </c>
      <c r="D20" t="s">
        <v>82</v>
      </c>
      <c r="E20" t="s">
        <v>1803</v>
      </c>
      <c r="F20" t="s">
        <v>1855</v>
      </c>
      <c r="H20" t="s">
        <v>1863</v>
      </c>
      <c r="J20" t="s">
        <v>1870</v>
      </c>
    </row>
    <row r="21" spans="1:10">
      <c r="A21" s="1">
        <f>HYPERLINK("https://cms.ls-nyc.org/matter/dynamic-profile/view/1901969","19-1901969")</f>
        <v>0</v>
      </c>
      <c r="B21" t="s">
        <v>12</v>
      </c>
      <c r="C21" t="s">
        <v>20</v>
      </c>
      <c r="D21" t="s">
        <v>83</v>
      </c>
      <c r="E21" t="s">
        <v>1803</v>
      </c>
      <c r="F21" t="s">
        <v>1855</v>
      </c>
      <c r="H21" t="s">
        <v>1863</v>
      </c>
      <c r="J21" t="s">
        <v>1870</v>
      </c>
    </row>
    <row r="22" spans="1:10">
      <c r="A22" s="1">
        <f>HYPERLINK("https://cms.ls-nyc.org/matter/dynamic-profile/view/1902066","19-1902066")</f>
        <v>0</v>
      </c>
      <c r="B22" t="s">
        <v>12</v>
      </c>
      <c r="C22" t="s">
        <v>21</v>
      </c>
      <c r="D22" t="s">
        <v>84</v>
      </c>
      <c r="E22" t="s">
        <v>1804</v>
      </c>
      <c r="G22" t="s">
        <v>1861</v>
      </c>
      <c r="J22" t="s">
        <v>1867</v>
      </c>
    </row>
    <row r="23" spans="1:10">
      <c r="A23" s="1">
        <f>HYPERLINK("https://cms.ls-nyc.org/matter/dynamic-profile/view/1902073","19-1902073")</f>
        <v>0</v>
      </c>
      <c r="B23" t="s">
        <v>12</v>
      </c>
      <c r="C23" t="s">
        <v>21</v>
      </c>
      <c r="D23" t="s">
        <v>85</v>
      </c>
      <c r="E23" t="s">
        <v>1804</v>
      </c>
      <c r="F23" t="s">
        <v>1853</v>
      </c>
      <c r="H23" t="s">
        <v>1863</v>
      </c>
      <c r="J23" t="s">
        <v>1869</v>
      </c>
    </row>
    <row r="24" spans="1:10">
      <c r="A24" s="1">
        <f>HYPERLINK("https://cms.ls-nyc.org/matter/dynamic-profile/view/1902104","19-1902104")</f>
        <v>0</v>
      </c>
      <c r="B24" t="s">
        <v>10</v>
      </c>
      <c r="C24" t="s">
        <v>16</v>
      </c>
      <c r="D24" t="s">
        <v>86</v>
      </c>
      <c r="G24" t="s">
        <v>1861</v>
      </c>
      <c r="J24" t="s">
        <v>1866</v>
      </c>
    </row>
    <row r="25" spans="1:10">
      <c r="A25" s="1">
        <f>HYPERLINK("https://cms.ls-nyc.org/matter/dynamic-profile/view/1901893","19-1901893")</f>
        <v>0</v>
      </c>
      <c r="B25" t="s">
        <v>10</v>
      </c>
      <c r="C25" t="s">
        <v>16</v>
      </c>
      <c r="D25" t="s">
        <v>87</v>
      </c>
      <c r="E25" t="s">
        <v>1799</v>
      </c>
      <c r="F25" t="s">
        <v>1853</v>
      </c>
      <c r="H25" t="s">
        <v>1863</v>
      </c>
      <c r="J25" t="s">
        <v>1867</v>
      </c>
    </row>
    <row r="26" spans="1:10">
      <c r="A26" s="1">
        <f>HYPERLINK("https://cms.ls-nyc.org/matter/dynamic-profile/view/1901895","19-1901895")</f>
        <v>0</v>
      </c>
      <c r="B26" t="s">
        <v>10</v>
      </c>
      <c r="C26" t="s">
        <v>16</v>
      </c>
      <c r="D26" t="s">
        <v>87</v>
      </c>
      <c r="E26" t="s">
        <v>1805</v>
      </c>
      <c r="F26" t="s">
        <v>1853</v>
      </c>
      <c r="H26" t="s">
        <v>1863</v>
      </c>
      <c r="J26" t="s">
        <v>1869</v>
      </c>
    </row>
    <row r="27" spans="1:10">
      <c r="A27" s="1">
        <f>HYPERLINK("https://cms.ls-nyc.org/matter/dynamic-profile/view/1901913","19-1901913")</f>
        <v>0</v>
      </c>
      <c r="B27" t="s">
        <v>10</v>
      </c>
      <c r="C27" t="s">
        <v>17</v>
      </c>
      <c r="D27" t="s">
        <v>88</v>
      </c>
      <c r="E27" t="s">
        <v>1799</v>
      </c>
      <c r="F27" t="s">
        <v>1853</v>
      </c>
      <c r="H27" t="s">
        <v>1863</v>
      </c>
      <c r="J27" t="s">
        <v>1867</v>
      </c>
    </row>
    <row r="28" spans="1:10">
      <c r="A28" s="1">
        <f>HYPERLINK("https://cms.ls-nyc.org/matter/dynamic-profile/view/1901919","19-1901919")</f>
        <v>0</v>
      </c>
      <c r="B28" t="s">
        <v>10</v>
      </c>
      <c r="C28" t="s">
        <v>17</v>
      </c>
      <c r="D28" t="s">
        <v>89</v>
      </c>
      <c r="E28" t="s">
        <v>1799</v>
      </c>
      <c r="F28" t="s">
        <v>1853</v>
      </c>
      <c r="G28" t="s">
        <v>1861</v>
      </c>
      <c r="J28" t="s">
        <v>1867</v>
      </c>
    </row>
    <row r="29" spans="1:10">
      <c r="A29" s="1">
        <f>HYPERLINK("https://cms.ls-nyc.org/matter/dynamic-profile/view/1901925","19-1901925")</f>
        <v>0</v>
      </c>
      <c r="B29" t="s">
        <v>10</v>
      </c>
      <c r="C29" t="s">
        <v>16</v>
      </c>
      <c r="D29" t="s">
        <v>90</v>
      </c>
      <c r="E29" t="s">
        <v>1799</v>
      </c>
      <c r="F29" t="s">
        <v>1853</v>
      </c>
      <c r="G29" t="s">
        <v>1861</v>
      </c>
      <c r="J29" t="s">
        <v>1867</v>
      </c>
    </row>
    <row r="30" spans="1:10">
      <c r="A30" s="1">
        <f>HYPERLINK("https://cms.ls-nyc.org/matter/dynamic-profile/view/1901932","19-1901932")</f>
        <v>0</v>
      </c>
      <c r="B30" t="s">
        <v>10</v>
      </c>
      <c r="C30" t="s">
        <v>17</v>
      </c>
      <c r="D30" t="s">
        <v>91</v>
      </c>
      <c r="E30" t="s">
        <v>1802</v>
      </c>
      <c r="F30" t="s">
        <v>1853</v>
      </c>
      <c r="H30" t="s">
        <v>1863</v>
      </c>
      <c r="J30" t="s">
        <v>1869</v>
      </c>
    </row>
    <row r="31" spans="1:10">
      <c r="A31" s="1">
        <f>HYPERLINK("https://cms.ls-nyc.org/matter/dynamic-profile/view/1901959","19-1901959")</f>
        <v>0</v>
      </c>
      <c r="B31" t="s">
        <v>10</v>
      </c>
      <c r="C31" t="s">
        <v>17</v>
      </c>
      <c r="D31" t="s">
        <v>91</v>
      </c>
      <c r="E31" t="s">
        <v>1806</v>
      </c>
      <c r="F31" t="s">
        <v>1853</v>
      </c>
      <c r="H31" t="s">
        <v>1863</v>
      </c>
      <c r="J31" t="s">
        <v>1869</v>
      </c>
    </row>
    <row r="32" spans="1:10">
      <c r="A32" s="1">
        <f>HYPERLINK("https://cms.ls-nyc.org/matter/dynamic-profile/view/1901960","19-1901960")</f>
        <v>0</v>
      </c>
      <c r="B32" t="s">
        <v>10</v>
      </c>
      <c r="C32" t="s">
        <v>16</v>
      </c>
      <c r="D32" t="s">
        <v>92</v>
      </c>
      <c r="E32" t="s">
        <v>1807</v>
      </c>
      <c r="F32" t="s">
        <v>1853</v>
      </c>
      <c r="H32" t="s">
        <v>1863</v>
      </c>
      <c r="J32" t="s">
        <v>1869</v>
      </c>
    </row>
    <row r="33" spans="1:10">
      <c r="A33" s="1">
        <f>HYPERLINK("https://cms.ls-nyc.org/matter/dynamic-profile/view/1902496","19-1902496")</f>
        <v>0</v>
      </c>
      <c r="B33" t="s">
        <v>13</v>
      </c>
      <c r="C33" t="s">
        <v>22</v>
      </c>
      <c r="D33" t="s">
        <v>93</v>
      </c>
      <c r="G33" t="s">
        <v>1861</v>
      </c>
      <c r="J33" t="s">
        <v>1866</v>
      </c>
    </row>
    <row r="34" spans="1:10">
      <c r="A34" s="1">
        <f>HYPERLINK("https://cms.ls-nyc.org/matter/dynamic-profile/view/1902498","19-1902498")</f>
        <v>0</v>
      </c>
      <c r="B34" t="s">
        <v>13</v>
      </c>
      <c r="C34" t="s">
        <v>22</v>
      </c>
      <c r="D34" t="s">
        <v>94</v>
      </c>
      <c r="G34" t="s">
        <v>1861</v>
      </c>
      <c r="J34" t="s">
        <v>1866</v>
      </c>
    </row>
    <row r="35" spans="1:10">
      <c r="A35" s="1">
        <f>HYPERLINK("https://cms.ls-nyc.org/matter/dynamic-profile/view/1901730","19-1901730")</f>
        <v>0</v>
      </c>
      <c r="B35" t="s">
        <v>10</v>
      </c>
      <c r="C35" t="s">
        <v>16</v>
      </c>
      <c r="D35" t="s">
        <v>95</v>
      </c>
      <c r="F35" t="s">
        <v>1856</v>
      </c>
      <c r="H35" t="s">
        <v>1863</v>
      </c>
      <c r="J35" t="s">
        <v>1866</v>
      </c>
    </row>
    <row r="36" spans="1:10">
      <c r="A36" s="1">
        <f>HYPERLINK("https://cms.ls-nyc.org/matter/dynamic-profile/view/1901734","19-1901734")</f>
        <v>0</v>
      </c>
      <c r="B36" t="s">
        <v>10</v>
      </c>
      <c r="C36" t="s">
        <v>16</v>
      </c>
      <c r="D36" t="s">
        <v>96</v>
      </c>
      <c r="F36" t="s">
        <v>1856</v>
      </c>
      <c r="H36" t="s">
        <v>1863</v>
      </c>
      <c r="J36" t="s">
        <v>1866</v>
      </c>
    </row>
    <row r="37" spans="1:10">
      <c r="A37" s="1">
        <f>HYPERLINK("https://cms.ls-nyc.org/matter/dynamic-profile/view/1901748","19-1901748")</f>
        <v>0</v>
      </c>
      <c r="B37" t="s">
        <v>11</v>
      </c>
      <c r="C37" t="s">
        <v>23</v>
      </c>
      <c r="D37" t="s">
        <v>97</v>
      </c>
      <c r="E37" t="s">
        <v>1808</v>
      </c>
      <c r="G37" t="s">
        <v>1861</v>
      </c>
      <c r="J37" t="s">
        <v>1867</v>
      </c>
    </row>
    <row r="38" spans="1:10">
      <c r="A38" s="1">
        <f>HYPERLINK("https://cms.ls-nyc.org/matter/dynamic-profile/view/1901794","19-1901794")</f>
        <v>0</v>
      </c>
      <c r="B38" t="s">
        <v>13</v>
      </c>
      <c r="C38" t="s">
        <v>24</v>
      </c>
      <c r="D38" t="s">
        <v>98</v>
      </c>
      <c r="E38" t="s">
        <v>1804</v>
      </c>
      <c r="G38" t="s">
        <v>1861</v>
      </c>
      <c r="J38" t="s">
        <v>1867</v>
      </c>
    </row>
    <row r="39" spans="1:10">
      <c r="A39" s="1">
        <f>HYPERLINK("https://cms.ls-nyc.org/matter/dynamic-profile/view/1901798","19-1901798")</f>
        <v>0</v>
      </c>
      <c r="B39" t="s">
        <v>14</v>
      </c>
      <c r="C39" t="s">
        <v>25</v>
      </c>
      <c r="D39" t="s">
        <v>99</v>
      </c>
      <c r="E39" t="s">
        <v>1803</v>
      </c>
      <c r="H39" t="s">
        <v>1863</v>
      </c>
      <c r="J39" t="s">
        <v>1871</v>
      </c>
    </row>
    <row r="40" spans="1:10">
      <c r="A40" s="1">
        <f>HYPERLINK("https://cms.ls-nyc.org/matter/dynamic-profile/view/1901803","19-1901803")</f>
        <v>0</v>
      </c>
      <c r="B40" t="s">
        <v>14</v>
      </c>
      <c r="C40" t="s">
        <v>26</v>
      </c>
      <c r="D40" t="s">
        <v>100</v>
      </c>
      <c r="E40" t="s">
        <v>1809</v>
      </c>
      <c r="H40" t="s">
        <v>1863</v>
      </c>
      <c r="J40" t="s">
        <v>1870</v>
      </c>
    </row>
    <row r="41" spans="1:10">
      <c r="A41" s="1">
        <f>HYPERLINK("https://cms.ls-nyc.org/matter/dynamic-profile/view/1901805","19-1901805")</f>
        <v>0</v>
      </c>
      <c r="B41" t="s">
        <v>14</v>
      </c>
      <c r="C41" t="s">
        <v>25</v>
      </c>
      <c r="D41" t="s">
        <v>100</v>
      </c>
      <c r="E41" t="s">
        <v>1803</v>
      </c>
      <c r="H41" t="s">
        <v>1863</v>
      </c>
      <c r="J41" t="s">
        <v>1870</v>
      </c>
    </row>
    <row r="42" spans="1:10">
      <c r="A42" s="1">
        <f>HYPERLINK("https://cms.ls-nyc.org/matter/dynamic-profile/view/1901807","19-1901807")</f>
        <v>0</v>
      </c>
      <c r="B42" t="s">
        <v>14</v>
      </c>
      <c r="C42" t="s">
        <v>25</v>
      </c>
      <c r="D42" t="s">
        <v>100</v>
      </c>
      <c r="E42" t="s">
        <v>1810</v>
      </c>
      <c r="H42" t="s">
        <v>1863</v>
      </c>
      <c r="J42" t="s">
        <v>1869</v>
      </c>
    </row>
    <row r="43" spans="1:10">
      <c r="A43" s="1">
        <f>HYPERLINK("https://cms.ls-nyc.org/matter/dynamic-profile/view/1901810","19-1901810")</f>
        <v>0</v>
      </c>
      <c r="B43" t="s">
        <v>10</v>
      </c>
      <c r="C43" t="s">
        <v>17</v>
      </c>
      <c r="D43" t="s">
        <v>101</v>
      </c>
      <c r="E43" t="s">
        <v>1799</v>
      </c>
      <c r="F43" t="s">
        <v>1853</v>
      </c>
      <c r="H43" t="s">
        <v>1863</v>
      </c>
      <c r="J43" t="s">
        <v>1867</v>
      </c>
    </row>
    <row r="44" spans="1:10">
      <c r="A44" s="1">
        <f>HYPERLINK("https://cms.ls-nyc.org/matter/dynamic-profile/view/1901824","19-1901824")</f>
        <v>0</v>
      </c>
      <c r="B44" t="s">
        <v>10</v>
      </c>
      <c r="C44" t="s">
        <v>17</v>
      </c>
      <c r="D44" t="s">
        <v>102</v>
      </c>
      <c r="E44" t="s">
        <v>1799</v>
      </c>
      <c r="F44" t="s">
        <v>1853</v>
      </c>
      <c r="G44" t="s">
        <v>1861</v>
      </c>
      <c r="J44" t="s">
        <v>1867</v>
      </c>
    </row>
    <row r="45" spans="1:10">
      <c r="A45" s="1">
        <f>HYPERLINK("https://cms.ls-nyc.org/matter/dynamic-profile/view/1901835","19-1901835")</f>
        <v>0</v>
      </c>
      <c r="B45" t="s">
        <v>13</v>
      </c>
      <c r="C45" t="s">
        <v>24</v>
      </c>
      <c r="D45" t="s">
        <v>103</v>
      </c>
      <c r="E45" t="s">
        <v>1811</v>
      </c>
      <c r="F45" t="s">
        <v>1853</v>
      </c>
      <c r="H45" t="s">
        <v>1863</v>
      </c>
      <c r="J45" t="s">
        <v>1866</v>
      </c>
    </row>
    <row r="46" spans="1:10">
      <c r="A46" s="1">
        <f>HYPERLINK("https://cms.ls-nyc.org/matter/dynamic-profile/view/1901580","19-1901580")</f>
        <v>0</v>
      </c>
      <c r="B46" t="s">
        <v>15</v>
      </c>
      <c r="C46" t="s">
        <v>27</v>
      </c>
      <c r="D46" t="s">
        <v>104</v>
      </c>
      <c r="E46" t="s">
        <v>1804</v>
      </c>
      <c r="G46" t="s">
        <v>1861</v>
      </c>
      <c r="J46" t="s">
        <v>1867</v>
      </c>
    </row>
    <row r="47" spans="1:10">
      <c r="A47" s="1">
        <f>HYPERLINK("https://cms.ls-nyc.org/matter/dynamic-profile/view/1901591","19-1901591")</f>
        <v>0</v>
      </c>
      <c r="B47" t="s">
        <v>15</v>
      </c>
      <c r="C47" t="s">
        <v>27</v>
      </c>
      <c r="D47" t="s">
        <v>105</v>
      </c>
      <c r="E47" t="s">
        <v>1809</v>
      </c>
      <c r="G47" t="s">
        <v>1861</v>
      </c>
      <c r="J47" t="s">
        <v>1870</v>
      </c>
    </row>
    <row r="48" spans="1:10">
      <c r="A48" s="1">
        <f>HYPERLINK("https://cms.ls-nyc.org/matter/dynamic-profile/view/1901602","19-1901602")</f>
        <v>0</v>
      </c>
      <c r="B48" t="s">
        <v>15</v>
      </c>
      <c r="C48" t="s">
        <v>27</v>
      </c>
      <c r="D48" t="s">
        <v>106</v>
      </c>
      <c r="E48" t="s">
        <v>1809</v>
      </c>
      <c r="G48" t="s">
        <v>1861</v>
      </c>
      <c r="I48" t="s">
        <v>1865</v>
      </c>
      <c r="J48" t="s">
        <v>1866</v>
      </c>
    </row>
    <row r="49" spans="1:10">
      <c r="A49" s="1">
        <f>HYPERLINK("https://cms.ls-nyc.org/matter/dynamic-profile/view/1901617","19-1901617")</f>
        <v>0</v>
      </c>
      <c r="B49" t="s">
        <v>10</v>
      </c>
      <c r="C49" t="s">
        <v>16</v>
      </c>
      <c r="D49" t="s">
        <v>107</v>
      </c>
      <c r="E49" t="s">
        <v>1812</v>
      </c>
      <c r="F49" t="s">
        <v>1853</v>
      </c>
      <c r="G49" t="s">
        <v>1861</v>
      </c>
      <c r="J49" t="s">
        <v>1867</v>
      </c>
    </row>
    <row r="50" spans="1:10">
      <c r="A50" s="1">
        <f>HYPERLINK("https://cms.ls-nyc.org/matter/dynamic-profile/view/1901629","19-1901629")</f>
        <v>0</v>
      </c>
      <c r="B50" t="s">
        <v>10</v>
      </c>
      <c r="C50" t="s">
        <v>17</v>
      </c>
      <c r="D50" t="s">
        <v>108</v>
      </c>
      <c r="E50" t="s">
        <v>1799</v>
      </c>
      <c r="F50" t="s">
        <v>1853</v>
      </c>
      <c r="H50" t="s">
        <v>1863</v>
      </c>
      <c r="J50" t="s">
        <v>1867</v>
      </c>
    </row>
    <row r="51" spans="1:10">
      <c r="A51" s="1">
        <f>HYPERLINK("https://cms.ls-nyc.org/matter/dynamic-profile/view/1901647","19-1901647")</f>
        <v>0</v>
      </c>
      <c r="B51" t="s">
        <v>10</v>
      </c>
      <c r="C51" t="s">
        <v>17</v>
      </c>
      <c r="D51" t="s">
        <v>109</v>
      </c>
      <c r="E51" t="s">
        <v>1799</v>
      </c>
      <c r="F51" t="s">
        <v>1853</v>
      </c>
      <c r="H51" t="s">
        <v>1863</v>
      </c>
      <c r="J51" t="s">
        <v>1867</v>
      </c>
    </row>
    <row r="52" spans="1:10">
      <c r="A52" s="1">
        <f>HYPERLINK("https://cms.ls-nyc.org/matter/dynamic-profile/view/1901667","19-1901667")</f>
        <v>0</v>
      </c>
      <c r="B52" t="s">
        <v>14</v>
      </c>
      <c r="C52" t="s">
        <v>28</v>
      </c>
      <c r="D52" t="s">
        <v>110</v>
      </c>
      <c r="E52" t="s">
        <v>1804</v>
      </c>
      <c r="F52" t="s">
        <v>1853</v>
      </c>
      <c r="H52" t="s">
        <v>1863</v>
      </c>
      <c r="J52" t="s">
        <v>1867</v>
      </c>
    </row>
    <row r="53" spans="1:10">
      <c r="A53" s="1">
        <f>HYPERLINK("https://cms.ls-nyc.org/matter/dynamic-profile/view/1901668","19-1901668")</f>
        <v>0</v>
      </c>
      <c r="B53" t="s">
        <v>10</v>
      </c>
      <c r="C53" t="s">
        <v>17</v>
      </c>
      <c r="D53" t="s">
        <v>111</v>
      </c>
      <c r="E53" t="s">
        <v>1799</v>
      </c>
      <c r="F53" t="s">
        <v>1853</v>
      </c>
      <c r="G53" t="s">
        <v>1861</v>
      </c>
      <c r="J53" t="s">
        <v>1867</v>
      </c>
    </row>
    <row r="54" spans="1:10">
      <c r="A54" s="1">
        <f>HYPERLINK("https://cms.ls-nyc.org/matter/dynamic-profile/view/1901683","19-1901683")</f>
        <v>0</v>
      </c>
      <c r="B54" t="s">
        <v>13</v>
      </c>
      <c r="C54" t="s">
        <v>29</v>
      </c>
      <c r="D54" t="s">
        <v>112</v>
      </c>
      <c r="G54" t="s">
        <v>1861</v>
      </c>
      <c r="J54" t="s">
        <v>1866</v>
      </c>
    </row>
    <row r="55" spans="1:10">
      <c r="A55" s="1">
        <f>HYPERLINK("https://cms.ls-nyc.org/matter/dynamic-profile/view/1901685","19-1901685")</f>
        <v>0</v>
      </c>
      <c r="B55" t="s">
        <v>13</v>
      </c>
      <c r="C55" t="s">
        <v>29</v>
      </c>
      <c r="D55" t="s">
        <v>113</v>
      </c>
      <c r="G55" t="s">
        <v>1861</v>
      </c>
      <c r="J55" t="s">
        <v>1866</v>
      </c>
    </row>
    <row r="56" spans="1:10">
      <c r="A56" s="1">
        <f>HYPERLINK("https://cms.ls-nyc.org/matter/dynamic-profile/view/1901698","19-1901698")</f>
        <v>0</v>
      </c>
      <c r="B56" t="s">
        <v>10</v>
      </c>
      <c r="C56" t="s">
        <v>30</v>
      </c>
      <c r="D56" t="s">
        <v>114</v>
      </c>
      <c r="F56" t="s">
        <v>1856</v>
      </c>
      <c r="H56" t="s">
        <v>1863</v>
      </c>
      <c r="J56" t="s">
        <v>1866</v>
      </c>
    </row>
    <row r="57" spans="1:10">
      <c r="A57" s="1">
        <f>HYPERLINK("https://cms.ls-nyc.org/matter/dynamic-profile/view/1901710","19-1901710")</f>
        <v>0</v>
      </c>
      <c r="B57" t="s">
        <v>14</v>
      </c>
      <c r="C57" t="s">
        <v>28</v>
      </c>
      <c r="D57" t="s">
        <v>110</v>
      </c>
      <c r="E57" t="s">
        <v>1799</v>
      </c>
      <c r="F57" t="s">
        <v>1853</v>
      </c>
      <c r="H57" t="s">
        <v>1863</v>
      </c>
      <c r="J57" t="s">
        <v>1867</v>
      </c>
    </row>
    <row r="58" spans="1:10">
      <c r="A58" s="1">
        <f>HYPERLINK("https://cms.ls-nyc.org/matter/dynamic-profile/view/1901528","19-1901528")</f>
        <v>0</v>
      </c>
      <c r="B58" t="s">
        <v>10</v>
      </c>
      <c r="C58" t="s">
        <v>17</v>
      </c>
      <c r="D58" t="s">
        <v>115</v>
      </c>
      <c r="E58" t="s">
        <v>1799</v>
      </c>
      <c r="F58" t="s">
        <v>1853</v>
      </c>
      <c r="H58" t="s">
        <v>1863</v>
      </c>
      <c r="J58" t="s">
        <v>1867</v>
      </c>
    </row>
    <row r="59" spans="1:10">
      <c r="A59" s="1">
        <f>HYPERLINK("https://cms.ls-nyc.org/matter/dynamic-profile/view/1901567","19-1901567")</f>
        <v>0</v>
      </c>
      <c r="B59" t="s">
        <v>15</v>
      </c>
      <c r="C59" t="s">
        <v>27</v>
      </c>
      <c r="D59" t="s">
        <v>116</v>
      </c>
      <c r="E59" t="s">
        <v>1804</v>
      </c>
      <c r="G59" t="s">
        <v>1861</v>
      </c>
      <c r="J59" t="s">
        <v>1867</v>
      </c>
    </row>
    <row r="60" spans="1:10">
      <c r="A60" s="1">
        <f>HYPERLINK("https://cms.ls-nyc.org/matter/dynamic-profile/view/1901304","19-1901304")</f>
        <v>0</v>
      </c>
      <c r="B60" t="s">
        <v>11</v>
      </c>
      <c r="C60" t="s">
        <v>23</v>
      </c>
      <c r="D60" t="s">
        <v>117</v>
      </c>
      <c r="E60" t="s">
        <v>1806</v>
      </c>
      <c r="G60" t="s">
        <v>1861</v>
      </c>
      <c r="J60" t="s">
        <v>1869</v>
      </c>
    </row>
    <row r="61" spans="1:10">
      <c r="A61" s="1">
        <f>HYPERLINK("https://cms.ls-nyc.org/matter/dynamic-profile/view/1901347","19-1901347")</f>
        <v>0</v>
      </c>
      <c r="B61" t="s">
        <v>15</v>
      </c>
      <c r="C61" t="s">
        <v>27</v>
      </c>
      <c r="D61" t="s">
        <v>118</v>
      </c>
      <c r="E61" t="s">
        <v>1803</v>
      </c>
      <c r="G61" t="s">
        <v>1861</v>
      </c>
      <c r="J61" t="s">
        <v>1871</v>
      </c>
    </row>
    <row r="62" spans="1:10">
      <c r="A62" s="1">
        <f>HYPERLINK("https://cms.ls-nyc.org/matter/dynamic-profile/view/1901210","19-1901210")</f>
        <v>0</v>
      </c>
      <c r="B62" t="s">
        <v>14</v>
      </c>
      <c r="C62" t="s">
        <v>31</v>
      </c>
      <c r="D62" t="s">
        <v>119</v>
      </c>
      <c r="E62" t="s">
        <v>1804</v>
      </c>
      <c r="F62" t="s">
        <v>1853</v>
      </c>
      <c r="H62" t="s">
        <v>1863</v>
      </c>
      <c r="J62" t="s">
        <v>1867</v>
      </c>
    </row>
    <row r="63" spans="1:10">
      <c r="A63" s="1">
        <f>HYPERLINK("https://cms.ls-nyc.org/matter/dynamic-profile/view/1901230","19-1901230")</f>
        <v>0</v>
      </c>
      <c r="B63" t="s">
        <v>11</v>
      </c>
      <c r="C63" t="s">
        <v>32</v>
      </c>
      <c r="D63" t="s">
        <v>120</v>
      </c>
      <c r="E63" t="s">
        <v>1804</v>
      </c>
      <c r="G63" t="s">
        <v>1861</v>
      </c>
      <c r="J63" t="s">
        <v>1867</v>
      </c>
    </row>
    <row r="64" spans="1:10">
      <c r="A64" s="1">
        <f>HYPERLINK("https://cms.ls-nyc.org/matter/dynamic-profile/view/1901260","19-1901260")</f>
        <v>0</v>
      </c>
      <c r="B64" t="s">
        <v>12</v>
      </c>
      <c r="C64" t="s">
        <v>33</v>
      </c>
      <c r="D64" t="s">
        <v>121</v>
      </c>
      <c r="E64" t="s">
        <v>1809</v>
      </c>
      <c r="F64" t="s">
        <v>1855</v>
      </c>
      <c r="H64" t="s">
        <v>1863</v>
      </c>
      <c r="J64" t="s">
        <v>1870</v>
      </c>
    </row>
    <row r="65" spans="1:10">
      <c r="A65" s="1">
        <f>HYPERLINK("https://cms.ls-nyc.org/matter/dynamic-profile/view/1901263","19-1901263")</f>
        <v>0</v>
      </c>
      <c r="B65" t="s">
        <v>12</v>
      </c>
      <c r="C65" t="s">
        <v>33</v>
      </c>
      <c r="D65" t="s">
        <v>121</v>
      </c>
      <c r="E65" t="s">
        <v>1813</v>
      </c>
      <c r="F65" t="s">
        <v>1855</v>
      </c>
      <c r="H65" t="s">
        <v>1863</v>
      </c>
      <c r="J65" t="s">
        <v>1870</v>
      </c>
    </row>
    <row r="66" spans="1:10">
      <c r="A66" s="1">
        <f>HYPERLINK("https://cms.ls-nyc.org/matter/dynamic-profile/view/1902415","19-1902415")</f>
        <v>0</v>
      </c>
      <c r="B66" t="s">
        <v>11</v>
      </c>
      <c r="C66" t="s">
        <v>18</v>
      </c>
      <c r="D66" t="s">
        <v>122</v>
      </c>
      <c r="E66" t="s">
        <v>1809</v>
      </c>
      <c r="G66" t="s">
        <v>1861</v>
      </c>
      <c r="J66" t="s">
        <v>1871</v>
      </c>
    </row>
    <row r="67" spans="1:10">
      <c r="A67" s="1">
        <f>HYPERLINK("https://cms.ls-nyc.org/matter/dynamic-profile/view/1900873","19-1900873")</f>
        <v>0</v>
      </c>
      <c r="B67" t="s">
        <v>13</v>
      </c>
      <c r="C67" t="s">
        <v>22</v>
      </c>
      <c r="D67" t="s">
        <v>123</v>
      </c>
      <c r="G67" t="s">
        <v>1861</v>
      </c>
      <c r="J67" t="s">
        <v>1866</v>
      </c>
    </row>
    <row r="68" spans="1:10">
      <c r="A68" s="1">
        <f>HYPERLINK("https://cms.ls-nyc.org/matter/dynamic-profile/view/1901070","19-1901070")</f>
        <v>0</v>
      </c>
      <c r="B68" t="s">
        <v>15</v>
      </c>
      <c r="C68" t="s">
        <v>34</v>
      </c>
      <c r="D68" t="s">
        <v>124</v>
      </c>
      <c r="E68" t="s">
        <v>1808</v>
      </c>
      <c r="F68" t="s">
        <v>1857</v>
      </c>
      <c r="H68" t="s">
        <v>1863</v>
      </c>
      <c r="J68" t="s">
        <v>1867</v>
      </c>
    </row>
    <row r="69" spans="1:10">
      <c r="A69" s="1">
        <f>HYPERLINK("https://cms.ls-nyc.org/matter/dynamic-profile/view/1901151","19-1901151")</f>
        <v>0</v>
      </c>
      <c r="B69" t="s">
        <v>15</v>
      </c>
      <c r="C69" t="s">
        <v>35</v>
      </c>
      <c r="D69" t="s">
        <v>125</v>
      </c>
      <c r="G69" t="s">
        <v>1861</v>
      </c>
      <c r="J69" t="s">
        <v>1866</v>
      </c>
    </row>
    <row r="70" spans="1:10">
      <c r="A70" s="1">
        <f>HYPERLINK("https://cms.ls-nyc.org/matter/dynamic-profile/view/1901170","19-1901170")</f>
        <v>0</v>
      </c>
      <c r="B70" t="s">
        <v>11</v>
      </c>
      <c r="C70" t="s">
        <v>36</v>
      </c>
      <c r="D70" t="s">
        <v>126</v>
      </c>
      <c r="E70" t="s">
        <v>1809</v>
      </c>
      <c r="G70" t="s">
        <v>1861</v>
      </c>
      <c r="J70" t="s">
        <v>1871</v>
      </c>
    </row>
    <row r="71" spans="1:10">
      <c r="A71" s="1">
        <f>HYPERLINK("https://cms.ls-nyc.org/matter/dynamic-profile/view/1900944","19-1900944")</f>
        <v>0</v>
      </c>
      <c r="B71" t="s">
        <v>10</v>
      </c>
      <c r="C71" t="s">
        <v>17</v>
      </c>
      <c r="D71" t="s">
        <v>127</v>
      </c>
      <c r="E71" t="s">
        <v>1799</v>
      </c>
      <c r="F71" t="s">
        <v>1853</v>
      </c>
      <c r="H71" t="s">
        <v>1863</v>
      </c>
      <c r="J71" t="s">
        <v>1867</v>
      </c>
    </row>
    <row r="72" spans="1:10">
      <c r="A72" s="1">
        <f>HYPERLINK("https://cms.ls-nyc.org/matter/dynamic-profile/view/1901053","19-1901053")</f>
        <v>0</v>
      </c>
      <c r="B72" t="s">
        <v>15</v>
      </c>
      <c r="C72" t="s">
        <v>35</v>
      </c>
      <c r="D72" t="s">
        <v>128</v>
      </c>
      <c r="E72" t="s">
        <v>1808</v>
      </c>
      <c r="G72" t="s">
        <v>1861</v>
      </c>
      <c r="J72" t="s">
        <v>1867</v>
      </c>
    </row>
    <row r="73" spans="1:10">
      <c r="A73" s="1">
        <f>HYPERLINK("https://cms.ls-nyc.org/matter/dynamic-profile/view/1900720","19-1900720")</f>
        <v>0</v>
      </c>
      <c r="B73" t="s">
        <v>11</v>
      </c>
      <c r="C73" t="s">
        <v>18</v>
      </c>
      <c r="D73" t="s">
        <v>129</v>
      </c>
      <c r="E73" t="s">
        <v>1804</v>
      </c>
      <c r="F73" t="s">
        <v>1853</v>
      </c>
      <c r="H73" t="s">
        <v>1863</v>
      </c>
      <c r="I73" t="s">
        <v>1865</v>
      </c>
      <c r="J73" t="s">
        <v>1866</v>
      </c>
    </row>
    <row r="74" spans="1:10">
      <c r="A74" s="1">
        <f>HYPERLINK("https://cms.ls-nyc.org/matter/dynamic-profile/view/1900740","19-1900740")</f>
        <v>0</v>
      </c>
      <c r="B74" t="s">
        <v>12</v>
      </c>
      <c r="C74" t="s">
        <v>30</v>
      </c>
      <c r="D74" t="s">
        <v>130</v>
      </c>
      <c r="F74" t="s">
        <v>1858</v>
      </c>
      <c r="H74" t="s">
        <v>1863</v>
      </c>
      <c r="J74" t="s">
        <v>1868</v>
      </c>
    </row>
    <row r="75" spans="1:10">
      <c r="A75" s="1">
        <f>HYPERLINK("https://cms.ls-nyc.org/matter/dynamic-profile/view/1900743","19-1900743")</f>
        <v>0</v>
      </c>
      <c r="B75" t="s">
        <v>11</v>
      </c>
      <c r="C75" t="s">
        <v>37</v>
      </c>
      <c r="D75" t="s">
        <v>131</v>
      </c>
      <c r="E75" t="s">
        <v>1803</v>
      </c>
      <c r="F75" t="s">
        <v>1855</v>
      </c>
      <c r="H75" t="s">
        <v>1863</v>
      </c>
      <c r="J75" t="s">
        <v>1870</v>
      </c>
    </row>
    <row r="76" spans="1:10">
      <c r="A76" s="1">
        <f>HYPERLINK("https://cms.ls-nyc.org/matter/dynamic-profile/view/1900766","19-1900766")</f>
        <v>0</v>
      </c>
      <c r="B76" t="s">
        <v>11</v>
      </c>
      <c r="C76" t="s">
        <v>37</v>
      </c>
      <c r="D76" t="s">
        <v>132</v>
      </c>
      <c r="E76" t="s">
        <v>1809</v>
      </c>
      <c r="F76" t="s">
        <v>1855</v>
      </c>
      <c r="H76" t="s">
        <v>1863</v>
      </c>
      <c r="J76" t="s">
        <v>1870</v>
      </c>
    </row>
    <row r="77" spans="1:10">
      <c r="A77" s="1">
        <f>HYPERLINK("https://cms.ls-nyc.org/matter/dynamic-profile/view/1900767","19-1900767")</f>
        <v>0</v>
      </c>
      <c r="B77" t="s">
        <v>11</v>
      </c>
      <c r="C77" t="s">
        <v>37</v>
      </c>
      <c r="D77" t="s">
        <v>133</v>
      </c>
      <c r="E77" t="s">
        <v>1809</v>
      </c>
      <c r="F77" t="s">
        <v>1855</v>
      </c>
      <c r="H77" t="s">
        <v>1863</v>
      </c>
      <c r="J77" t="s">
        <v>1870</v>
      </c>
    </row>
    <row r="78" spans="1:10">
      <c r="A78" s="1">
        <f>HYPERLINK("https://cms.ls-nyc.org/matter/dynamic-profile/view/1900768","19-1900768")</f>
        <v>0</v>
      </c>
      <c r="B78" t="s">
        <v>11</v>
      </c>
      <c r="C78" t="s">
        <v>36</v>
      </c>
      <c r="D78" t="s">
        <v>134</v>
      </c>
      <c r="E78" t="s">
        <v>1802</v>
      </c>
      <c r="F78" t="s">
        <v>1853</v>
      </c>
      <c r="H78" t="s">
        <v>1863</v>
      </c>
      <c r="J78" t="s">
        <v>1869</v>
      </c>
    </row>
    <row r="79" spans="1:10">
      <c r="A79" s="1">
        <f>HYPERLINK("https://cms.ls-nyc.org/matter/dynamic-profile/view/1900769","19-1900769")</f>
        <v>0</v>
      </c>
      <c r="B79" t="s">
        <v>11</v>
      </c>
      <c r="C79" t="s">
        <v>36</v>
      </c>
      <c r="D79" t="s">
        <v>134</v>
      </c>
      <c r="F79" t="s">
        <v>1857</v>
      </c>
      <c r="H79" t="s">
        <v>1863</v>
      </c>
      <c r="J79" t="s">
        <v>1869</v>
      </c>
    </row>
    <row r="80" spans="1:10">
      <c r="A80" s="1">
        <f>HYPERLINK("https://cms.ls-nyc.org/matter/dynamic-profile/view/1900770","19-1900770")</f>
        <v>0</v>
      </c>
      <c r="B80" t="s">
        <v>11</v>
      </c>
      <c r="C80" t="s">
        <v>36</v>
      </c>
      <c r="D80" t="s">
        <v>135</v>
      </c>
      <c r="E80" t="s">
        <v>1802</v>
      </c>
      <c r="F80" t="s">
        <v>1853</v>
      </c>
      <c r="H80" t="s">
        <v>1863</v>
      </c>
      <c r="J80" t="s">
        <v>1869</v>
      </c>
    </row>
    <row r="81" spans="1:10">
      <c r="A81" s="1">
        <f>HYPERLINK("https://cms.ls-nyc.org/matter/dynamic-profile/view/1900535","19-1900535")</f>
        <v>0</v>
      </c>
      <c r="B81" t="s">
        <v>10</v>
      </c>
      <c r="C81" t="s">
        <v>16</v>
      </c>
      <c r="D81" t="s">
        <v>136</v>
      </c>
      <c r="E81" t="s">
        <v>1806</v>
      </c>
      <c r="F81" t="s">
        <v>1853</v>
      </c>
      <c r="H81" t="s">
        <v>1863</v>
      </c>
      <c r="J81" t="s">
        <v>1869</v>
      </c>
    </row>
    <row r="82" spans="1:10">
      <c r="A82" s="1">
        <f>HYPERLINK("https://cms.ls-nyc.org/matter/dynamic-profile/view/1900539","19-1900539")</f>
        <v>0</v>
      </c>
      <c r="B82" t="s">
        <v>10</v>
      </c>
      <c r="C82" t="s">
        <v>16</v>
      </c>
      <c r="D82" t="s">
        <v>137</v>
      </c>
      <c r="E82" t="s">
        <v>1806</v>
      </c>
      <c r="F82" t="s">
        <v>1853</v>
      </c>
      <c r="G82" t="s">
        <v>1861</v>
      </c>
      <c r="J82" t="s">
        <v>1869</v>
      </c>
    </row>
    <row r="83" spans="1:10">
      <c r="A83" s="1">
        <f>HYPERLINK("https://cms.ls-nyc.org/matter/dynamic-profile/view/1900544","19-1900544")</f>
        <v>0</v>
      </c>
      <c r="B83" t="s">
        <v>10</v>
      </c>
      <c r="C83" t="s">
        <v>16</v>
      </c>
      <c r="D83" t="s">
        <v>136</v>
      </c>
      <c r="E83" t="s">
        <v>1812</v>
      </c>
      <c r="F83" t="s">
        <v>1853</v>
      </c>
      <c r="H83" t="s">
        <v>1863</v>
      </c>
      <c r="J83" t="s">
        <v>1867</v>
      </c>
    </row>
    <row r="84" spans="1:10">
      <c r="A84" s="1">
        <f>HYPERLINK("https://cms.ls-nyc.org/matter/dynamic-profile/view/1900555","19-1900555")</f>
        <v>0</v>
      </c>
      <c r="B84" t="s">
        <v>10</v>
      </c>
      <c r="C84" t="s">
        <v>16</v>
      </c>
      <c r="D84" t="s">
        <v>137</v>
      </c>
      <c r="E84" t="s">
        <v>1812</v>
      </c>
      <c r="F84" t="s">
        <v>1853</v>
      </c>
      <c r="H84" t="s">
        <v>1863</v>
      </c>
      <c r="J84" t="s">
        <v>1867</v>
      </c>
    </row>
    <row r="85" spans="1:10">
      <c r="A85" s="1">
        <f>HYPERLINK("https://cms.ls-nyc.org/matter/dynamic-profile/view/1900561","19-1900561")</f>
        <v>0</v>
      </c>
      <c r="B85" t="s">
        <v>10</v>
      </c>
      <c r="C85" t="s">
        <v>16</v>
      </c>
      <c r="D85" t="s">
        <v>138</v>
      </c>
      <c r="E85" t="s">
        <v>1799</v>
      </c>
      <c r="F85" t="s">
        <v>1853</v>
      </c>
      <c r="H85" t="s">
        <v>1863</v>
      </c>
      <c r="J85" t="s">
        <v>1867</v>
      </c>
    </row>
    <row r="86" spans="1:10">
      <c r="A86" s="1">
        <f>HYPERLINK("https://cms.ls-nyc.org/matter/dynamic-profile/view/1900575","19-1900575")</f>
        <v>0</v>
      </c>
      <c r="B86" t="s">
        <v>10</v>
      </c>
      <c r="C86" t="s">
        <v>16</v>
      </c>
      <c r="D86" t="s">
        <v>138</v>
      </c>
      <c r="E86" t="s">
        <v>1805</v>
      </c>
      <c r="F86" t="s">
        <v>1853</v>
      </c>
      <c r="H86" t="s">
        <v>1863</v>
      </c>
      <c r="J86" t="s">
        <v>1869</v>
      </c>
    </row>
    <row r="87" spans="1:10">
      <c r="A87" s="1">
        <f>HYPERLINK("https://cms.ls-nyc.org/matter/dynamic-profile/view/1900584","19-1900584")</f>
        <v>0</v>
      </c>
      <c r="B87" t="s">
        <v>10</v>
      </c>
      <c r="C87" t="s">
        <v>16</v>
      </c>
      <c r="D87" t="s">
        <v>138</v>
      </c>
      <c r="E87" t="s">
        <v>1804</v>
      </c>
      <c r="F87" t="s">
        <v>1853</v>
      </c>
      <c r="H87" t="s">
        <v>1863</v>
      </c>
      <c r="J87" t="s">
        <v>1867</v>
      </c>
    </row>
    <row r="88" spans="1:10">
      <c r="A88" s="1">
        <f>HYPERLINK("https://cms.ls-nyc.org/matter/dynamic-profile/view/1900238","19-1900238")</f>
        <v>0</v>
      </c>
      <c r="B88" t="s">
        <v>13</v>
      </c>
      <c r="C88" t="s">
        <v>22</v>
      </c>
      <c r="D88" t="s">
        <v>139</v>
      </c>
      <c r="G88" t="s">
        <v>1861</v>
      </c>
      <c r="J88" t="s">
        <v>1866</v>
      </c>
    </row>
    <row r="89" spans="1:10">
      <c r="A89" s="1">
        <f>HYPERLINK("https://cms.ls-nyc.org/matter/dynamic-profile/view/1900476","19-1900476")</f>
        <v>0</v>
      </c>
      <c r="B89" t="s">
        <v>11</v>
      </c>
      <c r="C89" t="s">
        <v>38</v>
      </c>
      <c r="D89" t="s">
        <v>140</v>
      </c>
      <c r="E89" t="s">
        <v>1800</v>
      </c>
      <c r="F89" t="s">
        <v>1853</v>
      </c>
      <c r="H89" t="s">
        <v>1863</v>
      </c>
      <c r="J89" t="s">
        <v>1869</v>
      </c>
    </row>
    <row r="90" spans="1:10">
      <c r="A90" s="1">
        <f>HYPERLINK("https://cms.ls-nyc.org/matter/dynamic-profile/view/1900508","19-1900508")</f>
        <v>0</v>
      </c>
      <c r="B90" t="s">
        <v>11</v>
      </c>
      <c r="C90" t="s">
        <v>36</v>
      </c>
      <c r="D90" t="s">
        <v>141</v>
      </c>
      <c r="E90" t="s">
        <v>1809</v>
      </c>
      <c r="F90" t="s">
        <v>1855</v>
      </c>
      <c r="H90" t="s">
        <v>1863</v>
      </c>
      <c r="J90" t="s">
        <v>1870</v>
      </c>
    </row>
    <row r="91" spans="1:10">
      <c r="A91" s="1">
        <f>HYPERLINK("https://cms.ls-nyc.org/matter/dynamic-profile/view/1900510","19-1900510")</f>
        <v>0</v>
      </c>
      <c r="B91" t="s">
        <v>11</v>
      </c>
      <c r="C91" t="s">
        <v>36</v>
      </c>
      <c r="D91" t="s">
        <v>142</v>
      </c>
      <c r="E91" t="s">
        <v>1803</v>
      </c>
      <c r="G91" t="s">
        <v>1861</v>
      </c>
      <c r="J91" t="s">
        <v>1871</v>
      </c>
    </row>
    <row r="92" spans="1:10">
      <c r="A92" s="1">
        <f>HYPERLINK("https://cms.ls-nyc.org/matter/dynamic-profile/view/1900284","19-1900284")</f>
        <v>0</v>
      </c>
      <c r="B92" t="s">
        <v>14</v>
      </c>
      <c r="C92" t="s">
        <v>31</v>
      </c>
      <c r="D92" t="s">
        <v>143</v>
      </c>
      <c r="E92" t="s">
        <v>1809</v>
      </c>
      <c r="G92" t="s">
        <v>1861</v>
      </c>
      <c r="J92" t="s">
        <v>1871</v>
      </c>
    </row>
    <row r="93" spans="1:10">
      <c r="A93" s="1">
        <f>HYPERLINK("https://cms.ls-nyc.org/matter/dynamic-profile/view/1900292","19-1900292")</f>
        <v>0</v>
      </c>
      <c r="B93" t="s">
        <v>14</v>
      </c>
      <c r="C93" t="s">
        <v>31</v>
      </c>
      <c r="D93" t="s">
        <v>144</v>
      </c>
      <c r="E93" t="s">
        <v>1803</v>
      </c>
      <c r="G93" t="s">
        <v>1861</v>
      </c>
      <c r="J93" t="s">
        <v>1871</v>
      </c>
    </row>
    <row r="94" spans="1:10">
      <c r="A94" s="1">
        <f>HYPERLINK("https://cms.ls-nyc.org/matter/dynamic-profile/view/1900357","19-1900357")</f>
        <v>0</v>
      </c>
      <c r="B94" t="s">
        <v>11</v>
      </c>
      <c r="C94" t="s">
        <v>23</v>
      </c>
      <c r="D94" t="s">
        <v>145</v>
      </c>
      <c r="E94" t="s">
        <v>1804</v>
      </c>
      <c r="G94" t="s">
        <v>1861</v>
      </c>
      <c r="J94" t="s">
        <v>1867</v>
      </c>
    </row>
    <row r="95" spans="1:10">
      <c r="A95" s="1">
        <f>HYPERLINK("https://cms.ls-nyc.org/matter/dynamic-profile/view/1900214","19-1900214")</f>
        <v>0</v>
      </c>
      <c r="B95" t="s">
        <v>11</v>
      </c>
      <c r="C95" t="s">
        <v>39</v>
      </c>
      <c r="D95" t="s">
        <v>146</v>
      </c>
      <c r="E95" t="s">
        <v>1803</v>
      </c>
      <c r="F95" t="s">
        <v>1855</v>
      </c>
      <c r="G95" t="s">
        <v>1861</v>
      </c>
      <c r="J95" t="s">
        <v>1871</v>
      </c>
    </row>
    <row r="96" spans="1:10">
      <c r="A96" s="1">
        <f>HYPERLINK("https://cms.ls-nyc.org/matter/dynamic-profile/view/1900227","19-1900227")</f>
        <v>0</v>
      </c>
      <c r="B96" t="s">
        <v>14</v>
      </c>
      <c r="C96" t="s">
        <v>28</v>
      </c>
      <c r="D96" t="s">
        <v>147</v>
      </c>
      <c r="E96" t="s">
        <v>1809</v>
      </c>
      <c r="F96" t="s">
        <v>1856</v>
      </c>
      <c r="H96" t="s">
        <v>1863</v>
      </c>
      <c r="J96" t="s">
        <v>1866</v>
      </c>
    </row>
    <row r="97" spans="1:10">
      <c r="A97" s="1">
        <f>HYPERLINK("https://cms.ls-nyc.org/matter/dynamic-profile/view/1900228","19-1900228")</f>
        <v>0</v>
      </c>
      <c r="B97" t="s">
        <v>14</v>
      </c>
      <c r="C97" t="s">
        <v>28</v>
      </c>
      <c r="D97" t="s">
        <v>148</v>
      </c>
      <c r="E97" t="s">
        <v>1809</v>
      </c>
      <c r="F97" t="s">
        <v>1856</v>
      </c>
      <c r="H97" t="s">
        <v>1863</v>
      </c>
      <c r="J97" t="s">
        <v>1866</v>
      </c>
    </row>
    <row r="98" spans="1:10">
      <c r="A98" s="1">
        <f>HYPERLINK("https://cms.ls-nyc.org/matter/dynamic-profile/view/1900229","19-1900229")</f>
        <v>0</v>
      </c>
      <c r="B98" t="s">
        <v>14</v>
      </c>
      <c r="C98" t="s">
        <v>28</v>
      </c>
      <c r="D98" t="s">
        <v>149</v>
      </c>
      <c r="E98" t="s">
        <v>1809</v>
      </c>
      <c r="F98" t="s">
        <v>1856</v>
      </c>
      <c r="H98" t="s">
        <v>1863</v>
      </c>
      <c r="J98" t="s">
        <v>1866</v>
      </c>
    </row>
    <row r="99" spans="1:10">
      <c r="A99" s="1">
        <f>HYPERLINK("https://cms.ls-nyc.org/matter/dynamic-profile/view/1900237","19-1900237")</f>
        <v>0</v>
      </c>
      <c r="B99" t="s">
        <v>14</v>
      </c>
      <c r="C99" t="s">
        <v>26</v>
      </c>
      <c r="D99" t="s">
        <v>150</v>
      </c>
      <c r="E99" t="s">
        <v>1803</v>
      </c>
      <c r="H99" t="s">
        <v>1863</v>
      </c>
      <c r="J99" t="s">
        <v>1871</v>
      </c>
    </row>
    <row r="100" spans="1:10">
      <c r="A100" s="1">
        <f>HYPERLINK("https://cms.ls-nyc.org/matter/dynamic-profile/view/1900240","19-1900240")</f>
        <v>0</v>
      </c>
      <c r="B100" t="s">
        <v>14</v>
      </c>
      <c r="C100" t="s">
        <v>26</v>
      </c>
      <c r="D100" t="s">
        <v>151</v>
      </c>
      <c r="E100" t="s">
        <v>1803</v>
      </c>
      <c r="H100" t="s">
        <v>1863</v>
      </c>
      <c r="J100" t="s">
        <v>1870</v>
      </c>
    </row>
    <row r="101" spans="1:10">
      <c r="A101" s="1">
        <f>HYPERLINK("https://cms.ls-nyc.org/matter/dynamic-profile/view/1900274","19-1900274")</f>
        <v>0</v>
      </c>
      <c r="B101" t="s">
        <v>14</v>
      </c>
      <c r="C101" t="s">
        <v>31</v>
      </c>
      <c r="D101" t="s">
        <v>152</v>
      </c>
      <c r="E101" t="s">
        <v>1803</v>
      </c>
      <c r="G101" t="s">
        <v>1861</v>
      </c>
      <c r="J101" t="s">
        <v>1870</v>
      </c>
    </row>
    <row r="102" spans="1:10">
      <c r="A102" s="1">
        <f>HYPERLINK("https://cms.ls-nyc.org/matter/dynamic-profile/view/1900275","19-1900275")</f>
        <v>0</v>
      </c>
      <c r="B102" t="s">
        <v>14</v>
      </c>
      <c r="C102" t="s">
        <v>31</v>
      </c>
      <c r="D102" t="s">
        <v>152</v>
      </c>
      <c r="E102" t="s">
        <v>1809</v>
      </c>
      <c r="G102" t="s">
        <v>1861</v>
      </c>
      <c r="J102" t="s">
        <v>1870</v>
      </c>
    </row>
    <row r="103" spans="1:10">
      <c r="A103" s="1">
        <f>HYPERLINK("https://cms.ls-nyc.org/matter/dynamic-profile/view/1899925","19-1899925")</f>
        <v>0</v>
      </c>
      <c r="B103" t="s">
        <v>15</v>
      </c>
      <c r="C103" t="s">
        <v>34</v>
      </c>
      <c r="D103" t="s">
        <v>153</v>
      </c>
      <c r="E103" t="s">
        <v>1804</v>
      </c>
      <c r="G103" t="s">
        <v>1861</v>
      </c>
      <c r="J103" t="s">
        <v>1867</v>
      </c>
    </row>
    <row r="104" spans="1:10">
      <c r="A104" s="1">
        <f>HYPERLINK("https://cms.ls-nyc.org/matter/dynamic-profile/view/1900108","19-1900108")</f>
        <v>0</v>
      </c>
      <c r="B104" t="s">
        <v>10</v>
      </c>
      <c r="C104" t="s">
        <v>30</v>
      </c>
      <c r="D104" t="s">
        <v>154</v>
      </c>
      <c r="E104" t="s">
        <v>1807</v>
      </c>
      <c r="F104" t="s">
        <v>1856</v>
      </c>
      <c r="H104" t="s">
        <v>1863</v>
      </c>
      <c r="J104" t="s">
        <v>1866</v>
      </c>
    </row>
    <row r="105" spans="1:10">
      <c r="A105" s="1">
        <f>HYPERLINK("https://cms.ls-nyc.org/matter/dynamic-profile/view/1900145","19-1900145")</f>
        <v>0</v>
      </c>
      <c r="B105" t="s">
        <v>12</v>
      </c>
      <c r="C105" t="s">
        <v>33</v>
      </c>
      <c r="D105" t="s">
        <v>155</v>
      </c>
      <c r="E105" t="s">
        <v>1809</v>
      </c>
      <c r="F105" t="s">
        <v>1855</v>
      </c>
      <c r="H105" t="s">
        <v>1863</v>
      </c>
      <c r="J105" t="s">
        <v>1871</v>
      </c>
    </row>
    <row r="106" spans="1:10">
      <c r="A106" s="1">
        <f>HYPERLINK("https://cms.ls-nyc.org/matter/dynamic-profile/view/1899940","19-1899940")</f>
        <v>0</v>
      </c>
      <c r="B106" t="s">
        <v>10</v>
      </c>
      <c r="C106" t="s">
        <v>17</v>
      </c>
      <c r="D106" t="s">
        <v>156</v>
      </c>
      <c r="E106" t="s">
        <v>1814</v>
      </c>
      <c r="F106" t="s">
        <v>1856</v>
      </c>
      <c r="G106" t="s">
        <v>1861</v>
      </c>
      <c r="J106" t="s">
        <v>1866</v>
      </c>
    </row>
    <row r="107" spans="1:10">
      <c r="A107" s="1">
        <f>HYPERLINK("https://cms.ls-nyc.org/matter/dynamic-profile/view/1899945","19-1899945")</f>
        <v>0</v>
      </c>
      <c r="B107" t="s">
        <v>10</v>
      </c>
      <c r="C107" t="s">
        <v>17</v>
      </c>
      <c r="D107" t="s">
        <v>157</v>
      </c>
      <c r="E107" t="s">
        <v>1814</v>
      </c>
      <c r="F107" t="s">
        <v>1856</v>
      </c>
      <c r="G107" t="s">
        <v>1861</v>
      </c>
      <c r="J107" t="s">
        <v>1866</v>
      </c>
    </row>
    <row r="108" spans="1:10">
      <c r="A108" s="1">
        <f>HYPERLINK("https://cms.ls-nyc.org/matter/dynamic-profile/view/1899888","19-1899888")</f>
        <v>0</v>
      </c>
      <c r="B108" t="s">
        <v>15</v>
      </c>
      <c r="C108" t="s">
        <v>34</v>
      </c>
      <c r="D108" t="s">
        <v>158</v>
      </c>
      <c r="E108" t="s">
        <v>1809</v>
      </c>
      <c r="G108" t="s">
        <v>1861</v>
      </c>
      <c r="J108" t="s">
        <v>1870</v>
      </c>
    </row>
    <row r="109" spans="1:10">
      <c r="A109" s="1">
        <f>HYPERLINK("https://cms.ls-nyc.org/matter/dynamic-profile/view/1899789","19-1899789")</f>
        <v>0</v>
      </c>
      <c r="B109" t="s">
        <v>11</v>
      </c>
      <c r="C109" t="s">
        <v>36</v>
      </c>
      <c r="D109" t="s">
        <v>135</v>
      </c>
      <c r="E109" t="s">
        <v>1804</v>
      </c>
      <c r="F109" t="s">
        <v>1857</v>
      </c>
      <c r="H109" t="s">
        <v>1863</v>
      </c>
      <c r="J109" t="s">
        <v>1867</v>
      </c>
    </row>
    <row r="110" spans="1:10">
      <c r="A110" s="1">
        <f>HYPERLINK("https://cms.ls-nyc.org/matter/dynamic-profile/view/1899560","19-1899560")</f>
        <v>0</v>
      </c>
      <c r="B110" t="s">
        <v>11</v>
      </c>
      <c r="C110" t="s">
        <v>18</v>
      </c>
      <c r="D110" t="s">
        <v>159</v>
      </c>
      <c r="G110" t="s">
        <v>1861</v>
      </c>
      <c r="J110" t="s">
        <v>1869</v>
      </c>
    </row>
    <row r="111" spans="1:10">
      <c r="A111" s="1">
        <f>HYPERLINK("https://cms.ls-nyc.org/matter/dynamic-profile/view/1899569","19-1899569")</f>
        <v>0</v>
      </c>
      <c r="B111" t="s">
        <v>12</v>
      </c>
      <c r="C111" t="s">
        <v>40</v>
      </c>
      <c r="D111" t="s">
        <v>160</v>
      </c>
      <c r="G111" t="s">
        <v>1861</v>
      </c>
      <c r="J111" t="s">
        <v>1866</v>
      </c>
    </row>
    <row r="112" spans="1:10">
      <c r="A112" s="1">
        <f>HYPERLINK("https://cms.ls-nyc.org/matter/dynamic-profile/view/1899577","19-1899577")</f>
        <v>0</v>
      </c>
      <c r="B112" t="s">
        <v>12</v>
      </c>
      <c r="C112" t="s">
        <v>40</v>
      </c>
      <c r="D112" t="s">
        <v>161</v>
      </c>
      <c r="E112" t="s">
        <v>1809</v>
      </c>
      <c r="F112" t="s">
        <v>1855</v>
      </c>
      <c r="H112" t="s">
        <v>1863</v>
      </c>
      <c r="J112" t="s">
        <v>1870</v>
      </c>
    </row>
    <row r="113" spans="1:10">
      <c r="A113" s="1">
        <f>HYPERLINK("https://cms.ls-nyc.org/matter/dynamic-profile/view/1899591","19-1899591")</f>
        <v>0</v>
      </c>
      <c r="B113" t="s">
        <v>11</v>
      </c>
      <c r="C113" t="s">
        <v>41</v>
      </c>
      <c r="D113" t="s">
        <v>162</v>
      </c>
      <c r="E113" t="s">
        <v>1815</v>
      </c>
      <c r="F113" t="s">
        <v>1856</v>
      </c>
      <c r="H113" t="s">
        <v>1863</v>
      </c>
      <c r="J113" t="s">
        <v>1866</v>
      </c>
    </row>
    <row r="114" spans="1:10">
      <c r="A114" s="1">
        <f>HYPERLINK("https://cms.ls-nyc.org/matter/dynamic-profile/view/1899602","19-1899602")</f>
        <v>0</v>
      </c>
      <c r="B114" t="s">
        <v>11</v>
      </c>
      <c r="C114" t="s">
        <v>41</v>
      </c>
      <c r="D114" t="s">
        <v>163</v>
      </c>
      <c r="E114" t="s">
        <v>1800</v>
      </c>
      <c r="G114" t="s">
        <v>1861</v>
      </c>
      <c r="J114" t="s">
        <v>1867</v>
      </c>
    </row>
    <row r="115" spans="1:10">
      <c r="A115" s="1">
        <f>HYPERLINK("https://cms.ls-nyc.org/matter/dynamic-profile/view/1899625","19-1899625")</f>
        <v>0</v>
      </c>
      <c r="B115" t="s">
        <v>11</v>
      </c>
      <c r="C115" t="s">
        <v>18</v>
      </c>
      <c r="D115" t="s">
        <v>164</v>
      </c>
      <c r="E115" t="s">
        <v>1809</v>
      </c>
      <c r="F115" t="s">
        <v>1855</v>
      </c>
      <c r="H115" t="s">
        <v>1863</v>
      </c>
      <c r="J115" t="s">
        <v>1871</v>
      </c>
    </row>
    <row r="116" spans="1:10">
      <c r="A116" s="1">
        <f>HYPERLINK("https://cms.ls-nyc.org/matter/dynamic-profile/view/1899640","19-1899640")</f>
        <v>0</v>
      </c>
      <c r="B116" t="s">
        <v>11</v>
      </c>
      <c r="C116" t="s">
        <v>36</v>
      </c>
      <c r="D116" t="s">
        <v>165</v>
      </c>
      <c r="E116" t="s">
        <v>1810</v>
      </c>
      <c r="G116" t="s">
        <v>1861</v>
      </c>
      <c r="J116" t="s">
        <v>1869</v>
      </c>
    </row>
    <row r="117" spans="1:10">
      <c r="A117" s="1">
        <f>HYPERLINK("https://cms.ls-nyc.org/matter/dynamic-profile/view/1899651","19-1899651")</f>
        <v>0</v>
      </c>
      <c r="B117" t="s">
        <v>12</v>
      </c>
      <c r="C117" t="s">
        <v>20</v>
      </c>
      <c r="D117" t="s">
        <v>166</v>
      </c>
      <c r="G117" t="s">
        <v>1861</v>
      </c>
      <c r="J117" t="s">
        <v>1866</v>
      </c>
    </row>
    <row r="118" spans="1:10">
      <c r="A118" s="1">
        <f>HYPERLINK("https://cms.ls-nyc.org/matter/dynamic-profile/view/1899290","19-1899290")</f>
        <v>0</v>
      </c>
      <c r="B118" t="s">
        <v>12</v>
      </c>
      <c r="C118" t="s">
        <v>21</v>
      </c>
      <c r="D118" t="s">
        <v>167</v>
      </c>
      <c r="E118" t="s">
        <v>1816</v>
      </c>
      <c r="F118" t="s">
        <v>1853</v>
      </c>
      <c r="G118" t="s">
        <v>1861</v>
      </c>
      <c r="J118" t="s">
        <v>1867</v>
      </c>
    </row>
    <row r="119" spans="1:10">
      <c r="A119" s="1">
        <f>HYPERLINK("https://cms.ls-nyc.org/matter/dynamic-profile/view/1899512","19-1899512")</f>
        <v>0</v>
      </c>
      <c r="B119" t="s">
        <v>15</v>
      </c>
      <c r="C119" t="s">
        <v>35</v>
      </c>
      <c r="D119" t="s">
        <v>168</v>
      </c>
      <c r="E119" t="s">
        <v>1808</v>
      </c>
      <c r="F119" t="s">
        <v>1857</v>
      </c>
      <c r="H119" t="s">
        <v>1863</v>
      </c>
      <c r="J119" t="s">
        <v>1867</v>
      </c>
    </row>
    <row r="120" spans="1:10">
      <c r="A120" s="1">
        <f>HYPERLINK("https://cms.ls-nyc.org/matter/dynamic-profile/view/1899423","19-1899423")</f>
        <v>0</v>
      </c>
      <c r="B120" t="s">
        <v>10</v>
      </c>
      <c r="C120" t="s">
        <v>17</v>
      </c>
      <c r="D120" t="s">
        <v>169</v>
      </c>
      <c r="E120" t="s">
        <v>1799</v>
      </c>
      <c r="F120" t="s">
        <v>1853</v>
      </c>
      <c r="H120" t="s">
        <v>1863</v>
      </c>
      <c r="J120" t="s">
        <v>1867</v>
      </c>
    </row>
    <row r="121" spans="1:10">
      <c r="A121" s="1">
        <f>HYPERLINK("https://cms.ls-nyc.org/matter/dynamic-profile/view/1899432","19-1899432")</f>
        <v>0</v>
      </c>
      <c r="B121" t="s">
        <v>10</v>
      </c>
      <c r="C121" t="s">
        <v>17</v>
      </c>
      <c r="D121" t="s">
        <v>170</v>
      </c>
      <c r="E121" t="s">
        <v>1799</v>
      </c>
      <c r="F121" t="s">
        <v>1853</v>
      </c>
      <c r="H121" t="s">
        <v>1863</v>
      </c>
      <c r="J121" t="s">
        <v>1867</v>
      </c>
    </row>
    <row r="122" spans="1:10">
      <c r="A122" s="1">
        <f>HYPERLINK("https://cms.ls-nyc.org/matter/dynamic-profile/view/1899443","19-1899443")</f>
        <v>0</v>
      </c>
      <c r="B122" t="s">
        <v>10</v>
      </c>
      <c r="C122" t="s">
        <v>17</v>
      </c>
      <c r="D122" t="s">
        <v>171</v>
      </c>
      <c r="E122" t="s">
        <v>1799</v>
      </c>
      <c r="F122" t="s">
        <v>1853</v>
      </c>
      <c r="H122" t="s">
        <v>1863</v>
      </c>
      <c r="J122" t="s">
        <v>1867</v>
      </c>
    </row>
    <row r="123" spans="1:10">
      <c r="A123" s="1">
        <f>HYPERLINK("https://cms.ls-nyc.org/matter/dynamic-profile/view/1899477","19-1899477")</f>
        <v>0</v>
      </c>
      <c r="B123" t="s">
        <v>10</v>
      </c>
      <c r="C123" t="s">
        <v>17</v>
      </c>
      <c r="D123" t="s">
        <v>172</v>
      </c>
      <c r="E123" t="s">
        <v>1799</v>
      </c>
      <c r="F123" t="s">
        <v>1853</v>
      </c>
      <c r="H123" t="s">
        <v>1863</v>
      </c>
      <c r="J123" t="s">
        <v>1867</v>
      </c>
    </row>
    <row r="124" spans="1:10">
      <c r="A124" s="1">
        <f>HYPERLINK("https://cms.ls-nyc.org/matter/dynamic-profile/view/1899531","19-1899531")</f>
        <v>0</v>
      </c>
      <c r="B124" t="s">
        <v>10</v>
      </c>
      <c r="C124" t="s">
        <v>17</v>
      </c>
      <c r="D124" t="s">
        <v>173</v>
      </c>
      <c r="E124" t="s">
        <v>1799</v>
      </c>
      <c r="F124" t="s">
        <v>1853</v>
      </c>
      <c r="H124" t="s">
        <v>1863</v>
      </c>
      <c r="J124" t="s">
        <v>1867</v>
      </c>
    </row>
    <row r="125" spans="1:10">
      <c r="A125" s="1">
        <f>HYPERLINK("https://cms.ls-nyc.org/matter/dynamic-profile/view/1899534","19-1899534")</f>
        <v>0</v>
      </c>
      <c r="B125" t="s">
        <v>10</v>
      </c>
      <c r="C125" t="s">
        <v>17</v>
      </c>
      <c r="D125" t="s">
        <v>174</v>
      </c>
      <c r="E125" t="s">
        <v>1799</v>
      </c>
      <c r="F125" t="s">
        <v>1853</v>
      </c>
      <c r="H125" t="s">
        <v>1863</v>
      </c>
      <c r="J125" t="s">
        <v>1867</v>
      </c>
    </row>
    <row r="126" spans="1:10">
      <c r="A126" s="1">
        <f>HYPERLINK("https://cms.ls-nyc.org/matter/dynamic-profile/view/1899310","19-1899310")</f>
        <v>0</v>
      </c>
      <c r="B126" t="s">
        <v>14</v>
      </c>
      <c r="C126" t="s">
        <v>42</v>
      </c>
      <c r="D126" t="s">
        <v>175</v>
      </c>
      <c r="E126" t="s">
        <v>1802</v>
      </c>
      <c r="G126" t="s">
        <v>1861</v>
      </c>
      <c r="J126" t="s">
        <v>1869</v>
      </c>
    </row>
    <row r="127" spans="1:10">
      <c r="A127" s="1">
        <f>HYPERLINK("https://cms.ls-nyc.org/matter/dynamic-profile/view/1899319","19-1899319")</f>
        <v>0</v>
      </c>
      <c r="B127" t="s">
        <v>10</v>
      </c>
      <c r="C127" t="s">
        <v>17</v>
      </c>
      <c r="D127" t="s">
        <v>176</v>
      </c>
      <c r="E127" t="s">
        <v>1799</v>
      </c>
      <c r="F127" t="s">
        <v>1853</v>
      </c>
      <c r="H127" t="s">
        <v>1863</v>
      </c>
      <c r="J127" t="s">
        <v>1867</v>
      </c>
    </row>
    <row r="128" spans="1:10">
      <c r="A128" s="1">
        <f>HYPERLINK("https://cms.ls-nyc.org/matter/dynamic-profile/view/1899326","19-1899326")</f>
        <v>0</v>
      </c>
      <c r="B128" t="s">
        <v>10</v>
      </c>
      <c r="C128" t="s">
        <v>17</v>
      </c>
      <c r="D128" t="s">
        <v>177</v>
      </c>
      <c r="E128" t="s">
        <v>1799</v>
      </c>
      <c r="F128" t="s">
        <v>1853</v>
      </c>
      <c r="H128" t="s">
        <v>1863</v>
      </c>
      <c r="J128" t="s">
        <v>1867</v>
      </c>
    </row>
    <row r="129" spans="1:10">
      <c r="A129" s="1">
        <f>HYPERLINK("https://cms.ls-nyc.org/matter/dynamic-profile/view/1899330","19-1899330")</f>
        <v>0</v>
      </c>
      <c r="B129" t="s">
        <v>10</v>
      </c>
      <c r="C129" t="s">
        <v>17</v>
      </c>
      <c r="D129" t="s">
        <v>178</v>
      </c>
      <c r="E129" t="s">
        <v>1799</v>
      </c>
      <c r="F129" t="s">
        <v>1853</v>
      </c>
      <c r="H129" t="s">
        <v>1863</v>
      </c>
      <c r="J129" t="s">
        <v>1867</v>
      </c>
    </row>
    <row r="130" spans="1:10">
      <c r="A130" s="1">
        <f>HYPERLINK("https://cms.ls-nyc.org/matter/dynamic-profile/view/1899344","19-1899344")</f>
        <v>0</v>
      </c>
      <c r="B130" t="s">
        <v>10</v>
      </c>
      <c r="C130" t="s">
        <v>17</v>
      </c>
      <c r="D130" t="s">
        <v>179</v>
      </c>
      <c r="E130" t="s">
        <v>1799</v>
      </c>
      <c r="F130" t="s">
        <v>1853</v>
      </c>
      <c r="H130" t="s">
        <v>1863</v>
      </c>
      <c r="J130" t="s">
        <v>1867</v>
      </c>
    </row>
    <row r="131" spans="1:10">
      <c r="A131" s="1">
        <f>HYPERLINK("https://cms.ls-nyc.org/matter/dynamic-profile/view/1899356","19-1899356")</f>
        <v>0</v>
      </c>
      <c r="B131" t="s">
        <v>10</v>
      </c>
      <c r="C131" t="s">
        <v>17</v>
      </c>
      <c r="D131" t="s">
        <v>180</v>
      </c>
      <c r="E131" t="s">
        <v>1799</v>
      </c>
      <c r="F131" t="s">
        <v>1853</v>
      </c>
      <c r="H131" t="s">
        <v>1863</v>
      </c>
      <c r="J131" t="s">
        <v>1867</v>
      </c>
    </row>
    <row r="132" spans="1:10">
      <c r="A132" s="1">
        <f>HYPERLINK("https://cms.ls-nyc.org/matter/dynamic-profile/view/1899370","19-1899370")</f>
        <v>0</v>
      </c>
      <c r="B132" t="s">
        <v>10</v>
      </c>
      <c r="C132" t="s">
        <v>17</v>
      </c>
      <c r="D132" t="s">
        <v>181</v>
      </c>
      <c r="E132" t="s">
        <v>1799</v>
      </c>
      <c r="F132" t="s">
        <v>1853</v>
      </c>
      <c r="H132" t="s">
        <v>1863</v>
      </c>
      <c r="J132" t="s">
        <v>1867</v>
      </c>
    </row>
    <row r="133" spans="1:10">
      <c r="A133" s="1">
        <f>HYPERLINK("https://cms.ls-nyc.org/matter/dynamic-profile/view/1899378","19-1899378")</f>
        <v>0</v>
      </c>
      <c r="B133" t="s">
        <v>12</v>
      </c>
      <c r="C133" t="s">
        <v>33</v>
      </c>
      <c r="D133" t="s">
        <v>182</v>
      </c>
      <c r="F133" t="s">
        <v>1857</v>
      </c>
      <c r="H133" t="s">
        <v>1863</v>
      </c>
      <c r="J133" t="s">
        <v>1869</v>
      </c>
    </row>
    <row r="134" spans="1:10">
      <c r="A134" s="1">
        <f>HYPERLINK("https://cms.ls-nyc.org/matter/dynamic-profile/view/1899396","19-1899396")</f>
        <v>0</v>
      </c>
      <c r="B134" t="s">
        <v>10</v>
      </c>
      <c r="C134" t="s">
        <v>16</v>
      </c>
      <c r="D134" t="s">
        <v>183</v>
      </c>
      <c r="E134" t="s">
        <v>1799</v>
      </c>
      <c r="F134" t="s">
        <v>1853</v>
      </c>
      <c r="H134" t="s">
        <v>1863</v>
      </c>
      <c r="J134" t="s">
        <v>1867</v>
      </c>
    </row>
    <row r="135" spans="1:10">
      <c r="A135" s="1">
        <f>HYPERLINK("https://cms.ls-nyc.org/matter/dynamic-profile/view/1899197","19-1899197")</f>
        <v>0</v>
      </c>
      <c r="B135" t="s">
        <v>10</v>
      </c>
      <c r="C135" t="s">
        <v>16</v>
      </c>
      <c r="D135" t="s">
        <v>184</v>
      </c>
      <c r="E135" t="s">
        <v>1805</v>
      </c>
      <c r="F135" t="s">
        <v>1853</v>
      </c>
      <c r="H135" t="s">
        <v>1863</v>
      </c>
      <c r="J135" t="s">
        <v>1869</v>
      </c>
    </row>
    <row r="136" spans="1:10">
      <c r="A136" s="1">
        <f>HYPERLINK("https://cms.ls-nyc.org/matter/dynamic-profile/view/1899205","19-1899205")</f>
        <v>0</v>
      </c>
      <c r="B136" t="s">
        <v>10</v>
      </c>
      <c r="C136" t="s">
        <v>16</v>
      </c>
      <c r="D136" t="s">
        <v>185</v>
      </c>
      <c r="E136" t="s">
        <v>1806</v>
      </c>
      <c r="F136" t="s">
        <v>1853</v>
      </c>
      <c r="H136" t="s">
        <v>1863</v>
      </c>
      <c r="J136" t="s">
        <v>1869</v>
      </c>
    </row>
    <row r="137" spans="1:10">
      <c r="A137" s="1">
        <f>HYPERLINK("https://cms.ls-nyc.org/matter/dynamic-profile/view/1899212","19-1899212")</f>
        <v>0</v>
      </c>
      <c r="B137" t="s">
        <v>10</v>
      </c>
      <c r="C137" t="s">
        <v>16</v>
      </c>
      <c r="D137" t="s">
        <v>186</v>
      </c>
      <c r="E137" t="s">
        <v>1806</v>
      </c>
      <c r="F137" t="s">
        <v>1853</v>
      </c>
      <c r="H137" t="s">
        <v>1863</v>
      </c>
      <c r="J137" t="s">
        <v>1869</v>
      </c>
    </row>
    <row r="138" spans="1:10">
      <c r="A138" s="1">
        <f>HYPERLINK("https://cms.ls-nyc.org/matter/dynamic-profile/view/1899229","19-1899229")</f>
        <v>0</v>
      </c>
      <c r="B138" t="s">
        <v>10</v>
      </c>
      <c r="C138" t="s">
        <v>16</v>
      </c>
      <c r="D138" t="s">
        <v>186</v>
      </c>
      <c r="E138" t="s">
        <v>1805</v>
      </c>
      <c r="F138" t="s">
        <v>1853</v>
      </c>
      <c r="H138" t="s">
        <v>1863</v>
      </c>
      <c r="J138" t="s">
        <v>1869</v>
      </c>
    </row>
    <row r="139" spans="1:10">
      <c r="A139" s="1">
        <f>HYPERLINK("https://cms.ls-nyc.org/matter/dynamic-profile/view/1899236","19-1899236")</f>
        <v>0</v>
      </c>
      <c r="B139" t="s">
        <v>10</v>
      </c>
      <c r="C139" t="s">
        <v>16</v>
      </c>
      <c r="D139" t="s">
        <v>185</v>
      </c>
      <c r="E139" t="s">
        <v>1805</v>
      </c>
      <c r="F139" t="s">
        <v>1853</v>
      </c>
      <c r="H139" t="s">
        <v>1863</v>
      </c>
      <c r="J139" t="s">
        <v>1869</v>
      </c>
    </row>
    <row r="140" spans="1:10">
      <c r="A140" s="1">
        <f>HYPERLINK("https://cms.ls-nyc.org/matter/dynamic-profile/view/1899249","19-1899249")</f>
        <v>0</v>
      </c>
      <c r="B140" t="s">
        <v>10</v>
      </c>
      <c r="C140" t="s">
        <v>16</v>
      </c>
      <c r="D140" t="s">
        <v>187</v>
      </c>
      <c r="E140" t="s">
        <v>1799</v>
      </c>
      <c r="F140" t="s">
        <v>1853</v>
      </c>
      <c r="H140" t="s">
        <v>1863</v>
      </c>
      <c r="J140" t="s">
        <v>1867</v>
      </c>
    </row>
    <row r="141" spans="1:10">
      <c r="A141" s="1">
        <f>HYPERLINK("https://cms.ls-nyc.org/matter/dynamic-profile/view/1899057","19-1899057")</f>
        <v>0</v>
      </c>
      <c r="B141" t="s">
        <v>10</v>
      </c>
      <c r="C141" t="s">
        <v>16</v>
      </c>
      <c r="D141" t="s">
        <v>188</v>
      </c>
      <c r="E141" t="s">
        <v>1804</v>
      </c>
      <c r="F141" t="s">
        <v>1853</v>
      </c>
      <c r="G141" t="s">
        <v>1861</v>
      </c>
      <c r="H141" t="s">
        <v>1863</v>
      </c>
      <c r="J141" t="s">
        <v>1867</v>
      </c>
    </row>
    <row r="142" spans="1:10">
      <c r="A142" s="1">
        <f>HYPERLINK("https://cms.ls-nyc.org/matter/dynamic-profile/view/1899068","19-1899068")</f>
        <v>0</v>
      </c>
      <c r="B142" t="s">
        <v>10</v>
      </c>
      <c r="C142" t="s">
        <v>16</v>
      </c>
      <c r="D142" t="s">
        <v>189</v>
      </c>
      <c r="E142" t="s">
        <v>1807</v>
      </c>
      <c r="F142" t="s">
        <v>1856</v>
      </c>
      <c r="H142" t="s">
        <v>1863</v>
      </c>
      <c r="J142" t="s">
        <v>1866</v>
      </c>
    </row>
    <row r="143" spans="1:10">
      <c r="A143" s="1">
        <f>HYPERLINK("https://cms.ls-nyc.org/matter/dynamic-profile/view/1899076","19-1899076")</f>
        <v>0</v>
      </c>
      <c r="B143" t="s">
        <v>10</v>
      </c>
      <c r="C143" t="s">
        <v>16</v>
      </c>
      <c r="D143" t="s">
        <v>190</v>
      </c>
      <c r="E143" t="s">
        <v>1799</v>
      </c>
      <c r="F143" t="s">
        <v>1853</v>
      </c>
      <c r="G143" t="s">
        <v>1861</v>
      </c>
      <c r="J143" t="s">
        <v>1867</v>
      </c>
    </row>
    <row r="144" spans="1:10">
      <c r="A144" s="1">
        <f>HYPERLINK("https://cms.ls-nyc.org/matter/dynamic-profile/view/1899089","19-1899089")</f>
        <v>0</v>
      </c>
      <c r="B144" t="s">
        <v>14</v>
      </c>
      <c r="C144" t="s">
        <v>42</v>
      </c>
      <c r="D144" t="s">
        <v>191</v>
      </c>
      <c r="E144" t="s">
        <v>1809</v>
      </c>
      <c r="F144" t="s">
        <v>1853</v>
      </c>
      <c r="H144" t="s">
        <v>1863</v>
      </c>
      <c r="J144" t="s">
        <v>1871</v>
      </c>
    </row>
    <row r="145" spans="1:10">
      <c r="A145" s="1">
        <f>HYPERLINK("https://cms.ls-nyc.org/matter/dynamic-profile/view/1899100","19-1899100")</f>
        <v>0</v>
      </c>
      <c r="B145" t="s">
        <v>14</v>
      </c>
      <c r="C145" t="s">
        <v>42</v>
      </c>
      <c r="D145" t="s">
        <v>192</v>
      </c>
      <c r="E145" t="s">
        <v>1807</v>
      </c>
      <c r="F145" t="s">
        <v>1853</v>
      </c>
      <c r="G145" t="s">
        <v>1861</v>
      </c>
      <c r="J145" t="s">
        <v>1869</v>
      </c>
    </row>
    <row r="146" spans="1:10">
      <c r="A146" s="1">
        <f>HYPERLINK("https://cms.ls-nyc.org/matter/dynamic-profile/view/1899105","19-1899105")</f>
        <v>0</v>
      </c>
      <c r="B146" t="s">
        <v>14</v>
      </c>
      <c r="C146" t="s">
        <v>42</v>
      </c>
      <c r="D146" t="s">
        <v>192</v>
      </c>
      <c r="F146" t="s">
        <v>1855</v>
      </c>
      <c r="H146" t="s">
        <v>1863</v>
      </c>
      <c r="J146" t="s">
        <v>1869</v>
      </c>
    </row>
    <row r="147" spans="1:10">
      <c r="A147" s="1">
        <f>HYPERLINK("https://cms.ls-nyc.org/matter/dynamic-profile/view/1899108","19-1899108")</f>
        <v>0</v>
      </c>
      <c r="B147" t="s">
        <v>14</v>
      </c>
      <c r="C147" t="s">
        <v>42</v>
      </c>
      <c r="D147" t="s">
        <v>193</v>
      </c>
      <c r="E147" t="s">
        <v>1812</v>
      </c>
      <c r="G147" t="s">
        <v>1861</v>
      </c>
      <c r="J147" t="s">
        <v>1867</v>
      </c>
    </row>
    <row r="148" spans="1:10">
      <c r="A148" s="1">
        <f>HYPERLINK("https://cms.ls-nyc.org/matter/dynamic-profile/view/1899160","19-1899160")</f>
        <v>0</v>
      </c>
      <c r="B148" t="s">
        <v>10</v>
      </c>
      <c r="C148" t="s">
        <v>16</v>
      </c>
      <c r="D148" t="s">
        <v>194</v>
      </c>
      <c r="E148" t="s">
        <v>1799</v>
      </c>
      <c r="F148" t="s">
        <v>1853</v>
      </c>
      <c r="H148" t="s">
        <v>1863</v>
      </c>
      <c r="J148" t="s">
        <v>1867</v>
      </c>
    </row>
    <row r="149" spans="1:10">
      <c r="A149" s="1">
        <f>HYPERLINK("https://cms.ls-nyc.org/matter/dynamic-profile/view/1899169","19-1899169")</f>
        <v>0</v>
      </c>
      <c r="B149" t="s">
        <v>10</v>
      </c>
      <c r="C149" t="s">
        <v>16</v>
      </c>
      <c r="D149" t="s">
        <v>194</v>
      </c>
      <c r="E149" t="s">
        <v>1805</v>
      </c>
      <c r="F149" t="s">
        <v>1853</v>
      </c>
      <c r="H149" t="s">
        <v>1863</v>
      </c>
      <c r="J149" t="s">
        <v>1869</v>
      </c>
    </row>
    <row r="150" spans="1:10">
      <c r="A150" s="1">
        <f>HYPERLINK("https://cms.ls-nyc.org/matter/dynamic-profile/view/1899173","19-1899173")</f>
        <v>0</v>
      </c>
      <c r="B150" t="s">
        <v>10</v>
      </c>
      <c r="C150" t="s">
        <v>16</v>
      </c>
      <c r="D150" t="s">
        <v>194</v>
      </c>
      <c r="E150" t="s">
        <v>1804</v>
      </c>
      <c r="G150" t="s">
        <v>1861</v>
      </c>
      <c r="J150" t="s">
        <v>1867</v>
      </c>
    </row>
    <row r="151" spans="1:10">
      <c r="A151" s="1">
        <f>HYPERLINK("https://cms.ls-nyc.org/matter/dynamic-profile/view/1898930","19-1898930")</f>
        <v>0</v>
      </c>
      <c r="B151" t="s">
        <v>12</v>
      </c>
      <c r="C151" t="s">
        <v>21</v>
      </c>
      <c r="D151" t="s">
        <v>195</v>
      </c>
      <c r="E151" t="s">
        <v>1804</v>
      </c>
      <c r="F151" t="s">
        <v>1853</v>
      </c>
      <c r="H151" t="s">
        <v>1863</v>
      </c>
      <c r="J151" t="s">
        <v>1867</v>
      </c>
    </row>
    <row r="152" spans="1:10">
      <c r="A152" s="1">
        <f>HYPERLINK("https://cms.ls-nyc.org/matter/dynamic-profile/view/1898943","19-1898943")</f>
        <v>0</v>
      </c>
      <c r="B152" t="s">
        <v>10</v>
      </c>
      <c r="C152" t="s">
        <v>16</v>
      </c>
      <c r="D152" t="s">
        <v>196</v>
      </c>
      <c r="E152" t="s">
        <v>1799</v>
      </c>
      <c r="F152" t="s">
        <v>1853</v>
      </c>
      <c r="G152" t="s">
        <v>1861</v>
      </c>
      <c r="J152" t="s">
        <v>1867</v>
      </c>
    </row>
    <row r="153" spans="1:10">
      <c r="A153" s="1">
        <f>HYPERLINK("https://cms.ls-nyc.org/matter/dynamic-profile/view/1898949","19-1898949")</f>
        <v>0</v>
      </c>
      <c r="B153" t="s">
        <v>15</v>
      </c>
      <c r="C153" t="s">
        <v>34</v>
      </c>
      <c r="D153" t="s">
        <v>197</v>
      </c>
      <c r="E153" t="s">
        <v>1809</v>
      </c>
      <c r="G153" t="s">
        <v>1861</v>
      </c>
      <c r="J153" t="s">
        <v>1870</v>
      </c>
    </row>
    <row r="154" spans="1:10">
      <c r="A154" s="1">
        <f>HYPERLINK("https://cms.ls-nyc.org/matter/dynamic-profile/view/1898958","19-1898958")</f>
        <v>0</v>
      </c>
      <c r="B154" t="s">
        <v>10</v>
      </c>
      <c r="C154" t="s">
        <v>16</v>
      </c>
      <c r="D154" t="s">
        <v>198</v>
      </c>
      <c r="E154" t="s">
        <v>1817</v>
      </c>
      <c r="F154" t="s">
        <v>1853</v>
      </c>
      <c r="H154" t="s">
        <v>1863</v>
      </c>
      <c r="J154" t="s">
        <v>1867</v>
      </c>
    </row>
    <row r="155" spans="1:10">
      <c r="A155" s="1">
        <f>HYPERLINK("https://cms.ls-nyc.org/matter/dynamic-profile/view/1899030","19-1899030")</f>
        <v>0</v>
      </c>
      <c r="B155" t="s">
        <v>10</v>
      </c>
      <c r="C155" t="s">
        <v>30</v>
      </c>
      <c r="D155" t="s">
        <v>199</v>
      </c>
      <c r="F155" t="s">
        <v>1856</v>
      </c>
      <c r="H155" t="s">
        <v>1863</v>
      </c>
      <c r="J155" t="s">
        <v>1866</v>
      </c>
    </row>
    <row r="156" spans="1:10">
      <c r="A156" s="1">
        <f>HYPERLINK("https://cms.ls-nyc.org/matter/dynamic-profile/view/1899032","19-1899032")</f>
        <v>0</v>
      </c>
      <c r="B156" t="s">
        <v>13</v>
      </c>
      <c r="C156" t="s">
        <v>22</v>
      </c>
      <c r="D156" t="s">
        <v>200</v>
      </c>
      <c r="G156" t="s">
        <v>1861</v>
      </c>
      <c r="J156" t="s">
        <v>1866</v>
      </c>
    </row>
    <row r="157" spans="1:10">
      <c r="A157" s="1">
        <f>HYPERLINK("https://cms.ls-nyc.org/matter/dynamic-profile/view/1899093","19-1899093")</f>
        <v>0</v>
      </c>
      <c r="B157" t="s">
        <v>13</v>
      </c>
      <c r="C157" t="s">
        <v>29</v>
      </c>
      <c r="D157" t="s">
        <v>201</v>
      </c>
      <c r="G157" t="s">
        <v>1861</v>
      </c>
      <c r="J157" t="s">
        <v>1866</v>
      </c>
    </row>
    <row r="158" spans="1:10">
      <c r="A158" s="1">
        <f>HYPERLINK("https://cms.ls-nyc.org/matter/dynamic-profile/view/1898819","19-1898819")</f>
        <v>0</v>
      </c>
      <c r="B158" t="s">
        <v>14</v>
      </c>
      <c r="C158" t="s">
        <v>26</v>
      </c>
      <c r="D158" t="s">
        <v>202</v>
      </c>
      <c r="E158" t="s">
        <v>1803</v>
      </c>
      <c r="G158" t="s">
        <v>1861</v>
      </c>
      <c r="H158" t="s">
        <v>1863</v>
      </c>
      <c r="J158" t="s">
        <v>1870</v>
      </c>
    </row>
    <row r="159" spans="1:10">
      <c r="A159" s="1">
        <f>HYPERLINK("https://cms.ls-nyc.org/matter/dynamic-profile/view/1898833","19-1898833")</f>
        <v>0</v>
      </c>
      <c r="B159" t="s">
        <v>14</v>
      </c>
      <c r="C159" t="s">
        <v>26</v>
      </c>
      <c r="D159" t="s">
        <v>203</v>
      </c>
      <c r="E159" t="s">
        <v>1803</v>
      </c>
      <c r="G159" t="s">
        <v>1861</v>
      </c>
      <c r="H159" t="s">
        <v>1863</v>
      </c>
      <c r="J159" t="s">
        <v>1871</v>
      </c>
    </row>
    <row r="160" spans="1:10">
      <c r="A160" s="1">
        <f>HYPERLINK("https://cms.ls-nyc.org/matter/dynamic-profile/view/1898913","19-1898913")</f>
        <v>0</v>
      </c>
      <c r="B160" t="s">
        <v>12</v>
      </c>
      <c r="C160" t="s">
        <v>33</v>
      </c>
      <c r="D160" t="s">
        <v>204</v>
      </c>
      <c r="G160" t="s">
        <v>1861</v>
      </c>
      <c r="J160" t="s">
        <v>1866</v>
      </c>
    </row>
    <row r="161" spans="1:10">
      <c r="A161" s="1">
        <f>HYPERLINK("https://cms.ls-nyc.org/matter/dynamic-profile/view/1898917","19-1898917")</f>
        <v>0</v>
      </c>
      <c r="B161" t="s">
        <v>12</v>
      </c>
      <c r="C161" t="s">
        <v>33</v>
      </c>
      <c r="D161" t="s">
        <v>205</v>
      </c>
      <c r="G161" t="s">
        <v>1861</v>
      </c>
      <c r="J161" t="s">
        <v>1866</v>
      </c>
    </row>
    <row r="162" spans="1:10">
      <c r="A162" s="1">
        <f>HYPERLINK("https://cms.ls-nyc.org/matter/dynamic-profile/view/1898787","19-1898787")</f>
        <v>0</v>
      </c>
      <c r="B162" t="s">
        <v>10</v>
      </c>
      <c r="C162" t="s">
        <v>30</v>
      </c>
      <c r="D162" t="s">
        <v>206</v>
      </c>
      <c r="E162" t="s">
        <v>1807</v>
      </c>
      <c r="F162" t="s">
        <v>1858</v>
      </c>
      <c r="H162" t="s">
        <v>1863</v>
      </c>
      <c r="J162" t="s">
        <v>1868</v>
      </c>
    </row>
    <row r="163" spans="1:10">
      <c r="A163" s="1">
        <f>HYPERLINK("https://cms.ls-nyc.org/matter/dynamic-profile/view/1898642","19-1898642")</f>
        <v>0</v>
      </c>
      <c r="B163" t="s">
        <v>14</v>
      </c>
      <c r="C163" t="s">
        <v>25</v>
      </c>
      <c r="D163" t="s">
        <v>207</v>
      </c>
      <c r="E163" t="s">
        <v>1803</v>
      </c>
      <c r="G163" t="s">
        <v>1861</v>
      </c>
      <c r="J163" t="s">
        <v>1870</v>
      </c>
    </row>
    <row r="164" spans="1:10">
      <c r="A164" s="1">
        <f>HYPERLINK("https://cms.ls-nyc.org/matter/dynamic-profile/view/1898649","19-1898649")</f>
        <v>0</v>
      </c>
      <c r="B164" t="s">
        <v>14</v>
      </c>
      <c r="C164" t="s">
        <v>42</v>
      </c>
      <c r="D164" t="s">
        <v>208</v>
      </c>
      <c r="E164" t="s">
        <v>1818</v>
      </c>
      <c r="H164" t="s">
        <v>1863</v>
      </c>
      <c r="J164" t="s">
        <v>1869</v>
      </c>
    </row>
    <row r="165" spans="1:10">
      <c r="A165" s="1">
        <f>HYPERLINK("https://cms.ls-nyc.org/matter/dynamic-profile/view/1898650","19-1898650")</f>
        <v>0</v>
      </c>
      <c r="B165" t="s">
        <v>14</v>
      </c>
      <c r="C165" t="s">
        <v>42</v>
      </c>
      <c r="D165" t="s">
        <v>208</v>
      </c>
      <c r="E165" t="s">
        <v>1805</v>
      </c>
      <c r="H165" t="s">
        <v>1863</v>
      </c>
      <c r="J165" t="s">
        <v>1869</v>
      </c>
    </row>
    <row r="166" spans="1:10">
      <c r="A166" s="1">
        <f>HYPERLINK("https://cms.ls-nyc.org/matter/dynamic-profile/view/1898651","19-1898651")</f>
        <v>0</v>
      </c>
      <c r="B166" t="s">
        <v>14</v>
      </c>
      <c r="C166" t="s">
        <v>25</v>
      </c>
      <c r="D166" t="s">
        <v>209</v>
      </c>
      <c r="E166" t="s">
        <v>1803</v>
      </c>
      <c r="H166" t="s">
        <v>1863</v>
      </c>
      <c r="J166" t="s">
        <v>1871</v>
      </c>
    </row>
    <row r="167" spans="1:10">
      <c r="A167" s="1">
        <f>HYPERLINK("https://cms.ls-nyc.org/matter/dynamic-profile/view/1898660","19-1898660")</f>
        <v>0</v>
      </c>
      <c r="B167" t="s">
        <v>14</v>
      </c>
      <c r="C167" t="s">
        <v>31</v>
      </c>
      <c r="D167" t="s">
        <v>210</v>
      </c>
      <c r="E167" t="s">
        <v>1809</v>
      </c>
      <c r="G167" t="s">
        <v>1861</v>
      </c>
      <c r="J167" t="s">
        <v>1871</v>
      </c>
    </row>
    <row r="168" spans="1:10">
      <c r="A168" s="1">
        <f>HYPERLINK("https://cms.ls-nyc.org/matter/dynamic-profile/view/1898663","19-1898663")</f>
        <v>0</v>
      </c>
      <c r="B168" t="s">
        <v>14</v>
      </c>
      <c r="C168" t="s">
        <v>25</v>
      </c>
      <c r="D168" t="s">
        <v>211</v>
      </c>
      <c r="E168" t="s">
        <v>1803</v>
      </c>
      <c r="H168" t="s">
        <v>1863</v>
      </c>
      <c r="J168" t="s">
        <v>1871</v>
      </c>
    </row>
    <row r="169" spans="1:10">
      <c r="A169" s="1">
        <f>HYPERLINK("https://cms.ls-nyc.org/matter/dynamic-profile/view/1898669","19-1898669")</f>
        <v>0</v>
      </c>
      <c r="B169" t="s">
        <v>10</v>
      </c>
      <c r="C169" t="s">
        <v>16</v>
      </c>
      <c r="D169" t="s">
        <v>212</v>
      </c>
      <c r="E169" t="s">
        <v>1809</v>
      </c>
      <c r="F169" t="s">
        <v>1855</v>
      </c>
      <c r="H169" t="s">
        <v>1863</v>
      </c>
      <c r="J169" t="s">
        <v>1870</v>
      </c>
    </row>
    <row r="170" spans="1:10">
      <c r="A170" s="1">
        <f>HYPERLINK("https://cms.ls-nyc.org/matter/dynamic-profile/view/1898671","19-1898671")</f>
        <v>0</v>
      </c>
      <c r="B170" t="s">
        <v>10</v>
      </c>
      <c r="C170" t="s">
        <v>16</v>
      </c>
      <c r="D170" t="s">
        <v>212</v>
      </c>
      <c r="E170" t="s">
        <v>1804</v>
      </c>
      <c r="F170" t="s">
        <v>1853</v>
      </c>
      <c r="H170" t="s">
        <v>1863</v>
      </c>
      <c r="J170" t="s">
        <v>1867</v>
      </c>
    </row>
    <row r="171" spans="1:10">
      <c r="A171" s="1">
        <f>HYPERLINK("https://cms.ls-nyc.org/matter/dynamic-profile/view/1898708","19-1898708")</f>
        <v>0</v>
      </c>
      <c r="B171" t="s">
        <v>14</v>
      </c>
      <c r="C171" t="s">
        <v>25</v>
      </c>
      <c r="D171" t="s">
        <v>213</v>
      </c>
      <c r="E171" t="s">
        <v>1802</v>
      </c>
      <c r="H171" t="s">
        <v>1863</v>
      </c>
      <c r="J171" t="s">
        <v>1869</v>
      </c>
    </row>
    <row r="172" spans="1:10">
      <c r="A172" s="1">
        <f>HYPERLINK("https://cms.ls-nyc.org/matter/dynamic-profile/view/1898715","19-1898715")</f>
        <v>0</v>
      </c>
      <c r="B172" t="s">
        <v>14</v>
      </c>
      <c r="C172" t="s">
        <v>25</v>
      </c>
      <c r="D172" t="s">
        <v>213</v>
      </c>
      <c r="E172" t="s">
        <v>1803</v>
      </c>
      <c r="H172" t="s">
        <v>1863</v>
      </c>
      <c r="J172" t="s">
        <v>1870</v>
      </c>
    </row>
    <row r="173" spans="1:10">
      <c r="A173" s="1">
        <f>HYPERLINK("https://cms.ls-nyc.org/matter/dynamic-profile/view/1898723","19-1898723")</f>
        <v>0</v>
      </c>
      <c r="B173" t="s">
        <v>14</v>
      </c>
      <c r="C173" t="s">
        <v>25</v>
      </c>
      <c r="D173" t="s">
        <v>214</v>
      </c>
      <c r="E173" t="s">
        <v>1803</v>
      </c>
      <c r="H173" t="s">
        <v>1863</v>
      </c>
      <c r="J173" t="s">
        <v>1870</v>
      </c>
    </row>
    <row r="174" spans="1:10">
      <c r="A174" s="1">
        <f>HYPERLINK("https://cms.ls-nyc.org/matter/dynamic-profile/view/1898725","19-1898725")</f>
        <v>0</v>
      </c>
      <c r="B174" t="s">
        <v>14</v>
      </c>
      <c r="C174" t="s">
        <v>25</v>
      </c>
      <c r="D174" t="s">
        <v>214</v>
      </c>
      <c r="E174" t="s">
        <v>1802</v>
      </c>
      <c r="H174" t="s">
        <v>1863</v>
      </c>
      <c r="J174" t="s">
        <v>1869</v>
      </c>
    </row>
    <row r="175" spans="1:10">
      <c r="A175" s="1">
        <f>HYPERLINK("https://cms.ls-nyc.org/matter/dynamic-profile/view/1898735","19-1898735")</f>
        <v>0</v>
      </c>
      <c r="B175" t="s">
        <v>14</v>
      </c>
      <c r="C175" t="s">
        <v>25</v>
      </c>
      <c r="D175" t="s">
        <v>215</v>
      </c>
      <c r="E175" t="s">
        <v>1802</v>
      </c>
      <c r="G175" t="s">
        <v>1861</v>
      </c>
      <c r="J175" t="s">
        <v>1869</v>
      </c>
    </row>
    <row r="176" spans="1:10">
      <c r="A176" s="1">
        <f>HYPERLINK("https://cms.ls-nyc.org/matter/dynamic-profile/view/1898737","19-1898737")</f>
        <v>0</v>
      </c>
      <c r="B176" t="s">
        <v>14</v>
      </c>
      <c r="C176" t="s">
        <v>25</v>
      </c>
      <c r="D176" t="s">
        <v>215</v>
      </c>
      <c r="E176" t="s">
        <v>1803</v>
      </c>
      <c r="H176" t="s">
        <v>1863</v>
      </c>
      <c r="J176" t="s">
        <v>1869</v>
      </c>
    </row>
    <row r="177" spans="1:10">
      <c r="A177" s="1">
        <f>HYPERLINK("https://cms.ls-nyc.org/matter/dynamic-profile/view/1898508","19-1898508")</f>
        <v>0</v>
      </c>
      <c r="B177" t="s">
        <v>10</v>
      </c>
      <c r="C177" t="s">
        <v>30</v>
      </c>
      <c r="D177" t="s">
        <v>216</v>
      </c>
      <c r="H177" t="s">
        <v>1863</v>
      </c>
      <c r="J177" t="s">
        <v>1866</v>
      </c>
    </row>
    <row r="178" spans="1:10">
      <c r="A178" s="1">
        <f>HYPERLINK("https://cms.ls-nyc.org/matter/dynamic-profile/view/1898587","19-1898587")</f>
        <v>0</v>
      </c>
      <c r="B178" t="s">
        <v>14</v>
      </c>
      <c r="C178" t="s">
        <v>25</v>
      </c>
      <c r="D178" t="s">
        <v>207</v>
      </c>
      <c r="E178" t="s">
        <v>1802</v>
      </c>
      <c r="G178" t="s">
        <v>1861</v>
      </c>
      <c r="J178" t="s">
        <v>1869</v>
      </c>
    </row>
    <row r="179" spans="1:10">
      <c r="A179" s="1">
        <f>HYPERLINK("https://cms.ls-nyc.org/matter/dynamic-profile/view/1898594","19-1898594")</f>
        <v>0</v>
      </c>
      <c r="B179" t="s">
        <v>14</v>
      </c>
      <c r="C179" t="s">
        <v>25</v>
      </c>
      <c r="D179" t="s">
        <v>217</v>
      </c>
      <c r="E179" t="s">
        <v>1802</v>
      </c>
      <c r="G179" t="s">
        <v>1861</v>
      </c>
      <c r="J179" t="s">
        <v>1869</v>
      </c>
    </row>
    <row r="180" spans="1:10">
      <c r="A180" s="1">
        <f>HYPERLINK("https://cms.ls-nyc.org/matter/dynamic-profile/view/1898603","19-1898603")</f>
        <v>0</v>
      </c>
      <c r="B180" t="s">
        <v>14</v>
      </c>
      <c r="C180" t="s">
        <v>25</v>
      </c>
      <c r="D180" t="s">
        <v>217</v>
      </c>
      <c r="E180" t="s">
        <v>1803</v>
      </c>
      <c r="G180" t="s">
        <v>1861</v>
      </c>
      <c r="J180" t="s">
        <v>1870</v>
      </c>
    </row>
    <row r="181" spans="1:10">
      <c r="A181" s="1">
        <f>HYPERLINK("https://cms.ls-nyc.org/matter/dynamic-profile/view/1899649","19-1899649")</f>
        <v>0</v>
      </c>
      <c r="B181" t="s">
        <v>11</v>
      </c>
      <c r="C181" t="s">
        <v>18</v>
      </c>
      <c r="D181" t="s">
        <v>218</v>
      </c>
      <c r="E181" t="s">
        <v>1804</v>
      </c>
      <c r="G181" t="s">
        <v>1861</v>
      </c>
      <c r="I181" t="s">
        <v>1865</v>
      </c>
      <c r="J181" t="s">
        <v>1866</v>
      </c>
    </row>
    <row r="182" spans="1:10">
      <c r="A182" s="1">
        <f>HYPERLINK("https://cms.ls-nyc.org/matter/dynamic-profile/view/1898430","19-1898430")</f>
        <v>0</v>
      </c>
      <c r="B182" t="s">
        <v>11</v>
      </c>
      <c r="C182" t="s">
        <v>39</v>
      </c>
      <c r="D182" t="s">
        <v>219</v>
      </c>
      <c r="E182" t="s">
        <v>1816</v>
      </c>
      <c r="G182" t="s">
        <v>1861</v>
      </c>
      <c r="J182" t="s">
        <v>1867</v>
      </c>
    </row>
    <row r="183" spans="1:10">
      <c r="A183" s="1">
        <f>HYPERLINK("https://cms.ls-nyc.org/matter/dynamic-profile/view/1898455","19-1898455")</f>
        <v>0</v>
      </c>
      <c r="B183" t="s">
        <v>12</v>
      </c>
      <c r="C183" t="s">
        <v>21</v>
      </c>
      <c r="D183" t="s">
        <v>220</v>
      </c>
      <c r="E183" t="s">
        <v>1819</v>
      </c>
      <c r="F183" t="s">
        <v>1853</v>
      </c>
      <c r="H183" t="s">
        <v>1863</v>
      </c>
      <c r="J183" t="s">
        <v>1867</v>
      </c>
    </row>
    <row r="184" spans="1:10">
      <c r="A184" s="1">
        <f>HYPERLINK("https://cms.ls-nyc.org/matter/dynamic-profile/view/1898487","19-1898487")</f>
        <v>0</v>
      </c>
      <c r="B184" t="s">
        <v>14</v>
      </c>
      <c r="C184" t="s">
        <v>31</v>
      </c>
      <c r="D184" t="s">
        <v>221</v>
      </c>
      <c r="E184" t="s">
        <v>1808</v>
      </c>
      <c r="F184" t="s">
        <v>1857</v>
      </c>
      <c r="H184" t="s">
        <v>1863</v>
      </c>
      <c r="J184" t="s">
        <v>1867</v>
      </c>
    </row>
    <row r="185" spans="1:10">
      <c r="A185" s="1">
        <f>HYPERLINK("https://cms.ls-nyc.org/matter/dynamic-profile/view/1898497","19-1898497")</f>
        <v>0</v>
      </c>
      <c r="B185" t="s">
        <v>14</v>
      </c>
      <c r="C185" t="s">
        <v>31</v>
      </c>
      <c r="D185" t="s">
        <v>222</v>
      </c>
      <c r="E185" t="s">
        <v>1808</v>
      </c>
      <c r="F185" t="s">
        <v>1857</v>
      </c>
      <c r="H185" t="s">
        <v>1863</v>
      </c>
      <c r="J185" t="s">
        <v>1867</v>
      </c>
    </row>
    <row r="186" spans="1:10">
      <c r="A186" s="1">
        <f>HYPERLINK("https://cms.ls-nyc.org/matter/dynamic-profile/view/1898498","19-1898498")</f>
        <v>0</v>
      </c>
      <c r="B186" t="s">
        <v>14</v>
      </c>
      <c r="C186" t="s">
        <v>31</v>
      </c>
      <c r="D186" t="s">
        <v>223</v>
      </c>
      <c r="E186" t="s">
        <v>1820</v>
      </c>
      <c r="F186" t="s">
        <v>1857</v>
      </c>
      <c r="H186" t="s">
        <v>1863</v>
      </c>
      <c r="J186" t="s">
        <v>1866</v>
      </c>
    </row>
    <row r="187" spans="1:10">
      <c r="A187" s="1">
        <f>HYPERLINK("https://cms.ls-nyc.org/matter/dynamic-profile/view/1898500","19-1898500")</f>
        <v>0</v>
      </c>
      <c r="B187" t="s">
        <v>14</v>
      </c>
      <c r="C187" t="s">
        <v>31</v>
      </c>
      <c r="D187" t="s">
        <v>224</v>
      </c>
      <c r="E187" t="s">
        <v>1809</v>
      </c>
      <c r="F187" t="s">
        <v>1855</v>
      </c>
      <c r="H187" t="s">
        <v>1863</v>
      </c>
      <c r="J187" t="s">
        <v>1870</v>
      </c>
    </row>
    <row r="188" spans="1:10">
      <c r="A188" s="1">
        <f>HYPERLINK("https://cms.ls-nyc.org/matter/dynamic-profile/view/1898501","19-1898501")</f>
        <v>0</v>
      </c>
      <c r="B188" t="s">
        <v>14</v>
      </c>
      <c r="C188" t="s">
        <v>31</v>
      </c>
      <c r="D188" t="s">
        <v>225</v>
      </c>
      <c r="E188" t="s">
        <v>1803</v>
      </c>
      <c r="F188" t="s">
        <v>1855</v>
      </c>
      <c r="H188" t="s">
        <v>1863</v>
      </c>
      <c r="J188" t="s">
        <v>1870</v>
      </c>
    </row>
    <row r="189" spans="1:10">
      <c r="A189" s="1">
        <f>HYPERLINK("https://cms.ls-nyc.org/matter/dynamic-profile/view/1898195","19-1898195")</f>
        <v>0</v>
      </c>
      <c r="B189" t="s">
        <v>11</v>
      </c>
      <c r="C189" t="s">
        <v>18</v>
      </c>
      <c r="D189" t="s">
        <v>159</v>
      </c>
      <c r="E189" t="s">
        <v>1802</v>
      </c>
      <c r="F189" t="s">
        <v>1853</v>
      </c>
      <c r="H189" t="s">
        <v>1863</v>
      </c>
      <c r="J189" t="s">
        <v>1869</v>
      </c>
    </row>
    <row r="190" spans="1:10">
      <c r="A190" s="1">
        <f>HYPERLINK("https://cms.ls-nyc.org/matter/dynamic-profile/view/1898240","19-1898240")</f>
        <v>0</v>
      </c>
      <c r="B190" t="s">
        <v>14</v>
      </c>
      <c r="C190" t="s">
        <v>26</v>
      </c>
      <c r="D190" t="s">
        <v>151</v>
      </c>
      <c r="E190" t="s">
        <v>1809</v>
      </c>
      <c r="H190" t="s">
        <v>1863</v>
      </c>
      <c r="J190" t="s">
        <v>1870</v>
      </c>
    </row>
    <row r="191" spans="1:10">
      <c r="A191" s="1">
        <f>HYPERLINK("https://cms.ls-nyc.org/matter/dynamic-profile/view/1898254","19-1898254")</f>
        <v>0</v>
      </c>
      <c r="B191" t="s">
        <v>14</v>
      </c>
      <c r="C191" t="s">
        <v>26</v>
      </c>
      <c r="D191" t="s">
        <v>150</v>
      </c>
      <c r="E191" t="s">
        <v>1809</v>
      </c>
      <c r="H191" t="s">
        <v>1863</v>
      </c>
      <c r="J191" t="s">
        <v>1871</v>
      </c>
    </row>
    <row r="192" spans="1:10">
      <c r="A192" s="1">
        <f>HYPERLINK("https://cms.ls-nyc.org/matter/dynamic-profile/view/1898075","19-1898075")</f>
        <v>0</v>
      </c>
      <c r="B192" t="s">
        <v>13</v>
      </c>
      <c r="C192" t="s">
        <v>24</v>
      </c>
      <c r="D192" t="s">
        <v>226</v>
      </c>
      <c r="E192" t="s">
        <v>1804</v>
      </c>
      <c r="F192" t="s">
        <v>1853</v>
      </c>
      <c r="H192" t="s">
        <v>1863</v>
      </c>
      <c r="J192" t="s">
        <v>1867</v>
      </c>
    </row>
    <row r="193" spans="1:10">
      <c r="A193" s="1">
        <f>HYPERLINK("https://cms.ls-nyc.org/matter/dynamic-profile/view/1898079","19-1898079")</f>
        <v>0</v>
      </c>
      <c r="B193" t="s">
        <v>14</v>
      </c>
      <c r="C193" t="s">
        <v>28</v>
      </c>
      <c r="D193" t="s">
        <v>227</v>
      </c>
      <c r="E193" t="s">
        <v>1809</v>
      </c>
      <c r="F193" t="s">
        <v>1856</v>
      </c>
      <c r="H193" t="s">
        <v>1863</v>
      </c>
      <c r="J193" t="s">
        <v>1866</v>
      </c>
    </row>
    <row r="194" spans="1:10">
      <c r="A194" s="1">
        <f>HYPERLINK("https://cms.ls-nyc.org/matter/dynamic-profile/view/1898083","19-1898083")</f>
        <v>0</v>
      </c>
      <c r="B194" t="s">
        <v>14</v>
      </c>
      <c r="C194" t="s">
        <v>28</v>
      </c>
      <c r="D194" t="s">
        <v>228</v>
      </c>
      <c r="E194" t="s">
        <v>1809</v>
      </c>
      <c r="F194" t="s">
        <v>1856</v>
      </c>
      <c r="H194" t="s">
        <v>1863</v>
      </c>
      <c r="J194" t="s">
        <v>1866</v>
      </c>
    </row>
    <row r="195" spans="1:10">
      <c r="A195" s="1">
        <f>HYPERLINK("https://cms.ls-nyc.org/matter/dynamic-profile/view/1898085","19-1898085")</f>
        <v>0</v>
      </c>
      <c r="B195" t="s">
        <v>15</v>
      </c>
      <c r="C195" t="s">
        <v>34</v>
      </c>
      <c r="D195" t="s">
        <v>229</v>
      </c>
      <c r="E195" t="s">
        <v>1821</v>
      </c>
      <c r="G195" t="s">
        <v>1861</v>
      </c>
      <c r="J195" t="s">
        <v>1867</v>
      </c>
    </row>
    <row r="196" spans="1:10">
      <c r="A196" s="1">
        <f>HYPERLINK("https://cms.ls-nyc.org/matter/dynamic-profile/view/1898122","19-1898122")</f>
        <v>0</v>
      </c>
      <c r="B196" t="s">
        <v>14</v>
      </c>
      <c r="C196" t="s">
        <v>31</v>
      </c>
      <c r="D196" t="s">
        <v>230</v>
      </c>
      <c r="E196" t="s">
        <v>1822</v>
      </c>
      <c r="F196" t="s">
        <v>1853</v>
      </c>
      <c r="H196" t="s">
        <v>1863</v>
      </c>
      <c r="J196" t="s">
        <v>1869</v>
      </c>
    </row>
    <row r="197" spans="1:10">
      <c r="A197" s="1">
        <f>HYPERLINK("https://cms.ls-nyc.org/matter/dynamic-profile/view/1898131","19-1898131")</f>
        <v>0</v>
      </c>
      <c r="B197" t="s">
        <v>13</v>
      </c>
      <c r="C197" t="s">
        <v>24</v>
      </c>
      <c r="D197" t="s">
        <v>231</v>
      </c>
      <c r="E197" t="s">
        <v>1804</v>
      </c>
      <c r="F197" t="s">
        <v>1853</v>
      </c>
      <c r="H197" t="s">
        <v>1863</v>
      </c>
      <c r="J197" t="s">
        <v>1867</v>
      </c>
    </row>
    <row r="198" spans="1:10">
      <c r="A198" s="1">
        <f>HYPERLINK("https://cms.ls-nyc.org/matter/dynamic-profile/view/1898132","19-1898132")</f>
        <v>0</v>
      </c>
      <c r="B198" t="s">
        <v>10</v>
      </c>
      <c r="C198" t="s">
        <v>16</v>
      </c>
      <c r="D198" t="s">
        <v>232</v>
      </c>
      <c r="E198" t="s">
        <v>1807</v>
      </c>
      <c r="F198" t="s">
        <v>1853</v>
      </c>
      <c r="H198" t="s">
        <v>1863</v>
      </c>
      <c r="J198" t="s">
        <v>1869</v>
      </c>
    </row>
    <row r="199" spans="1:10">
      <c r="A199" s="1">
        <f>HYPERLINK("https://cms.ls-nyc.org/matter/dynamic-profile/view/1898135","19-1898135")</f>
        <v>0</v>
      </c>
      <c r="B199" t="s">
        <v>10</v>
      </c>
      <c r="C199" t="s">
        <v>16</v>
      </c>
      <c r="D199" t="s">
        <v>233</v>
      </c>
      <c r="E199" t="s">
        <v>1807</v>
      </c>
      <c r="F199" t="s">
        <v>1853</v>
      </c>
      <c r="H199" t="s">
        <v>1863</v>
      </c>
      <c r="J199" t="s">
        <v>1869</v>
      </c>
    </row>
    <row r="200" spans="1:10">
      <c r="A200" s="1">
        <f>HYPERLINK("https://cms.ls-nyc.org/matter/dynamic-profile/view/1898137","19-1898137")</f>
        <v>0</v>
      </c>
      <c r="B200" t="s">
        <v>11</v>
      </c>
      <c r="C200" t="s">
        <v>32</v>
      </c>
      <c r="D200" t="s">
        <v>234</v>
      </c>
      <c r="E200" t="s">
        <v>1804</v>
      </c>
      <c r="F200" t="s">
        <v>1853</v>
      </c>
      <c r="G200" t="s">
        <v>1861</v>
      </c>
      <c r="J200" t="s">
        <v>1869</v>
      </c>
    </row>
    <row r="201" spans="1:10">
      <c r="A201" s="1">
        <f>HYPERLINK("https://cms.ls-nyc.org/matter/dynamic-profile/view/1898152","19-1898152")</f>
        <v>0</v>
      </c>
      <c r="B201" t="s">
        <v>14</v>
      </c>
      <c r="C201" t="s">
        <v>42</v>
      </c>
      <c r="D201" t="s">
        <v>175</v>
      </c>
      <c r="E201" t="s">
        <v>1809</v>
      </c>
      <c r="F201" t="s">
        <v>1855</v>
      </c>
      <c r="H201" t="s">
        <v>1863</v>
      </c>
      <c r="J201" t="s">
        <v>1870</v>
      </c>
    </row>
    <row r="202" spans="1:10">
      <c r="A202" s="1">
        <f>HYPERLINK("https://cms.ls-nyc.org/matter/dynamic-profile/view/1898156","19-1898156")</f>
        <v>0</v>
      </c>
      <c r="B202" t="s">
        <v>14</v>
      </c>
      <c r="C202" t="s">
        <v>42</v>
      </c>
      <c r="D202" t="s">
        <v>235</v>
      </c>
      <c r="E202" t="s">
        <v>1809</v>
      </c>
      <c r="F202" t="s">
        <v>1855</v>
      </c>
      <c r="H202" t="s">
        <v>1863</v>
      </c>
      <c r="J202" t="s">
        <v>1870</v>
      </c>
    </row>
    <row r="203" spans="1:10">
      <c r="A203" s="1">
        <f>HYPERLINK("https://cms.ls-nyc.org/matter/dynamic-profile/view/1898162","19-1898162")</f>
        <v>0</v>
      </c>
      <c r="B203" t="s">
        <v>13</v>
      </c>
      <c r="C203" t="s">
        <v>43</v>
      </c>
      <c r="D203" t="s">
        <v>236</v>
      </c>
      <c r="E203" t="s">
        <v>1803</v>
      </c>
      <c r="F203" t="s">
        <v>1855</v>
      </c>
      <c r="H203" t="s">
        <v>1863</v>
      </c>
      <c r="J203" t="s">
        <v>1871</v>
      </c>
    </row>
    <row r="204" spans="1:10">
      <c r="A204" s="1">
        <f>HYPERLINK("https://cms.ls-nyc.org/matter/dynamic-profile/view/1898170","19-1898170")</f>
        <v>0</v>
      </c>
      <c r="B204" t="s">
        <v>12</v>
      </c>
      <c r="C204" t="s">
        <v>20</v>
      </c>
      <c r="D204" t="s">
        <v>237</v>
      </c>
      <c r="E204" t="s">
        <v>1809</v>
      </c>
      <c r="F204" t="s">
        <v>1858</v>
      </c>
      <c r="H204" t="s">
        <v>1863</v>
      </c>
      <c r="J204" t="s">
        <v>1868</v>
      </c>
    </row>
    <row r="205" spans="1:10">
      <c r="A205" s="1">
        <f>HYPERLINK("https://cms.ls-nyc.org/matter/dynamic-profile/view/1898181","19-1898181")</f>
        <v>0</v>
      </c>
      <c r="B205" t="s">
        <v>12</v>
      </c>
      <c r="C205" t="s">
        <v>20</v>
      </c>
      <c r="D205" t="s">
        <v>81</v>
      </c>
      <c r="E205" t="s">
        <v>1809</v>
      </c>
      <c r="F205" t="s">
        <v>1855</v>
      </c>
      <c r="H205" t="s">
        <v>1863</v>
      </c>
      <c r="J205" t="s">
        <v>1870</v>
      </c>
    </row>
    <row r="206" spans="1:10">
      <c r="A206" s="1">
        <f>HYPERLINK("https://cms.ls-nyc.org/matter/dynamic-profile/view/1898183","19-1898183")</f>
        <v>0</v>
      </c>
      <c r="B206" t="s">
        <v>12</v>
      </c>
      <c r="C206" t="s">
        <v>20</v>
      </c>
      <c r="D206" t="s">
        <v>238</v>
      </c>
      <c r="E206" t="s">
        <v>1809</v>
      </c>
      <c r="F206" t="s">
        <v>1853</v>
      </c>
      <c r="H206" t="s">
        <v>1863</v>
      </c>
      <c r="J206" t="s">
        <v>1870</v>
      </c>
    </row>
    <row r="207" spans="1:10">
      <c r="A207" s="1">
        <f>HYPERLINK("https://cms.ls-nyc.org/matter/dynamic-profile/view/1898187","19-1898187")</f>
        <v>0</v>
      </c>
      <c r="B207" t="s">
        <v>12</v>
      </c>
      <c r="C207" t="s">
        <v>20</v>
      </c>
      <c r="D207" t="s">
        <v>82</v>
      </c>
      <c r="E207" t="s">
        <v>1809</v>
      </c>
      <c r="F207" t="s">
        <v>1855</v>
      </c>
      <c r="H207" t="s">
        <v>1863</v>
      </c>
      <c r="J207" t="s">
        <v>1870</v>
      </c>
    </row>
    <row r="208" spans="1:10">
      <c r="A208" s="1">
        <f>HYPERLINK("https://cms.ls-nyc.org/matter/dynamic-profile/view/1897997","19-1897997")</f>
        <v>0</v>
      </c>
      <c r="B208" t="s">
        <v>14</v>
      </c>
      <c r="C208" t="s">
        <v>31</v>
      </c>
      <c r="D208" t="s">
        <v>239</v>
      </c>
      <c r="E208" t="s">
        <v>1823</v>
      </c>
      <c r="F208" t="s">
        <v>1853</v>
      </c>
      <c r="G208" t="s">
        <v>1861</v>
      </c>
      <c r="H208" t="s">
        <v>1864</v>
      </c>
      <c r="J208" t="s">
        <v>1868</v>
      </c>
    </row>
    <row r="209" spans="1:10">
      <c r="A209" s="1">
        <f>HYPERLINK("https://cms.ls-nyc.org/matter/dynamic-profile/view/1898012","19-1898012")</f>
        <v>0</v>
      </c>
      <c r="B209" t="s">
        <v>14</v>
      </c>
      <c r="C209" t="s">
        <v>28</v>
      </c>
      <c r="D209" t="s">
        <v>240</v>
      </c>
      <c r="E209" t="s">
        <v>1809</v>
      </c>
      <c r="F209" t="s">
        <v>1859</v>
      </c>
      <c r="H209" t="s">
        <v>1863</v>
      </c>
      <c r="J209" t="s">
        <v>1868</v>
      </c>
    </row>
    <row r="210" spans="1:10">
      <c r="A210" s="1">
        <f>HYPERLINK("https://cms.ls-nyc.org/matter/dynamic-profile/view/1898053","19-1898053")</f>
        <v>0</v>
      </c>
      <c r="B210" t="s">
        <v>14</v>
      </c>
      <c r="C210" t="s">
        <v>28</v>
      </c>
      <c r="D210" t="s">
        <v>241</v>
      </c>
      <c r="E210" t="s">
        <v>1809</v>
      </c>
      <c r="F210" t="s">
        <v>1858</v>
      </c>
      <c r="H210" t="s">
        <v>1863</v>
      </c>
      <c r="J210" t="s">
        <v>1868</v>
      </c>
    </row>
    <row r="211" spans="1:10">
      <c r="A211" s="1">
        <f>HYPERLINK("https://cms.ls-nyc.org/matter/dynamic-profile/view/1897872","19-1897872")</f>
        <v>0</v>
      </c>
      <c r="B211" t="s">
        <v>12</v>
      </c>
      <c r="C211" t="s">
        <v>33</v>
      </c>
      <c r="D211" t="s">
        <v>242</v>
      </c>
      <c r="E211" t="s">
        <v>1810</v>
      </c>
      <c r="G211" t="s">
        <v>1861</v>
      </c>
      <c r="J211" t="s">
        <v>1869</v>
      </c>
    </row>
    <row r="212" spans="1:10">
      <c r="A212" s="1">
        <f>HYPERLINK("https://cms.ls-nyc.org/matter/dynamic-profile/view/1897856","19-1897856")</f>
        <v>0</v>
      </c>
      <c r="B212" t="s">
        <v>12</v>
      </c>
      <c r="C212" t="s">
        <v>33</v>
      </c>
      <c r="D212" t="s">
        <v>243</v>
      </c>
      <c r="E212" t="s">
        <v>1810</v>
      </c>
      <c r="F212" t="s">
        <v>1858</v>
      </c>
      <c r="H212" t="s">
        <v>1863</v>
      </c>
      <c r="J212" t="s">
        <v>1868</v>
      </c>
    </row>
    <row r="213" spans="1:10">
      <c r="A213" s="1">
        <f>HYPERLINK("https://cms.ls-nyc.org/matter/dynamic-profile/view/1897860","19-1897860")</f>
        <v>0</v>
      </c>
      <c r="B213" t="s">
        <v>14</v>
      </c>
      <c r="C213" t="s">
        <v>28</v>
      </c>
      <c r="D213" t="s">
        <v>244</v>
      </c>
      <c r="E213" t="s">
        <v>1809</v>
      </c>
      <c r="F213" t="s">
        <v>1854</v>
      </c>
      <c r="H213" t="s">
        <v>1863</v>
      </c>
      <c r="J213" t="s">
        <v>1870</v>
      </c>
    </row>
    <row r="214" spans="1:10">
      <c r="A214" s="1">
        <f>HYPERLINK("https://cms.ls-nyc.org/matter/dynamic-profile/view/1897867","19-1897867")</f>
        <v>0</v>
      </c>
      <c r="B214" t="s">
        <v>14</v>
      </c>
      <c r="C214" t="s">
        <v>28</v>
      </c>
      <c r="D214" t="s">
        <v>245</v>
      </c>
      <c r="E214" t="s">
        <v>1809</v>
      </c>
      <c r="F214" t="s">
        <v>1854</v>
      </c>
      <c r="H214" t="s">
        <v>1863</v>
      </c>
      <c r="J214" t="s">
        <v>1870</v>
      </c>
    </row>
    <row r="215" spans="1:10">
      <c r="A215" s="1">
        <f>HYPERLINK("https://cms.ls-nyc.org/matter/dynamic-profile/view/1897929","19-1897929")</f>
        <v>0</v>
      </c>
      <c r="B215" t="s">
        <v>15</v>
      </c>
      <c r="C215" t="s">
        <v>34</v>
      </c>
      <c r="D215" t="s">
        <v>246</v>
      </c>
      <c r="E215" t="s">
        <v>1821</v>
      </c>
      <c r="F215" t="s">
        <v>1853</v>
      </c>
      <c r="G215" t="s">
        <v>1861</v>
      </c>
      <c r="J215" t="s">
        <v>1867</v>
      </c>
    </row>
    <row r="216" spans="1:10">
      <c r="A216" s="1">
        <f>HYPERLINK("https://cms.ls-nyc.org/matter/dynamic-profile/view/1897934","19-1897934")</f>
        <v>0</v>
      </c>
      <c r="B216" t="s">
        <v>10</v>
      </c>
      <c r="C216" t="s">
        <v>16</v>
      </c>
      <c r="D216" t="s">
        <v>247</v>
      </c>
      <c r="E216" t="s">
        <v>1803</v>
      </c>
      <c r="F216" t="s">
        <v>1853</v>
      </c>
      <c r="H216" t="s">
        <v>1863</v>
      </c>
      <c r="J216" t="s">
        <v>1870</v>
      </c>
    </row>
    <row r="217" spans="1:10">
      <c r="A217" s="1">
        <f>HYPERLINK("https://cms.ls-nyc.org/matter/dynamic-profile/view/1897935","19-1897935")</f>
        <v>0</v>
      </c>
      <c r="B217" t="s">
        <v>10</v>
      </c>
      <c r="C217" t="s">
        <v>16</v>
      </c>
      <c r="D217" t="s">
        <v>248</v>
      </c>
      <c r="E217" t="s">
        <v>1804</v>
      </c>
      <c r="F217" t="s">
        <v>1853</v>
      </c>
      <c r="G217" t="s">
        <v>1861</v>
      </c>
      <c r="J217" t="s">
        <v>1867</v>
      </c>
    </row>
    <row r="218" spans="1:10">
      <c r="A218" s="1">
        <f>HYPERLINK("https://cms.ls-nyc.org/matter/dynamic-profile/view/1897937","19-1897937")</f>
        <v>0</v>
      </c>
      <c r="B218" t="s">
        <v>10</v>
      </c>
      <c r="C218" t="s">
        <v>16</v>
      </c>
      <c r="D218" t="s">
        <v>212</v>
      </c>
      <c r="E218" t="s">
        <v>1816</v>
      </c>
      <c r="F218" t="s">
        <v>1853</v>
      </c>
      <c r="H218" t="s">
        <v>1863</v>
      </c>
      <c r="J218" t="s">
        <v>1867</v>
      </c>
    </row>
    <row r="219" spans="1:10">
      <c r="A219" s="1">
        <f>HYPERLINK("https://cms.ls-nyc.org/matter/dynamic-profile/view/1898106","19-1898106")</f>
        <v>0</v>
      </c>
      <c r="B219" t="s">
        <v>11</v>
      </c>
      <c r="C219" t="s">
        <v>39</v>
      </c>
      <c r="D219" t="s">
        <v>249</v>
      </c>
      <c r="E219" t="s">
        <v>1824</v>
      </c>
      <c r="G219" t="s">
        <v>1861</v>
      </c>
      <c r="J219" t="s">
        <v>1871</v>
      </c>
    </row>
    <row r="220" spans="1:10">
      <c r="A220" s="1">
        <f>HYPERLINK("https://cms.ls-nyc.org/matter/dynamic-profile/view/1897233","19-1897233")</f>
        <v>0</v>
      </c>
      <c r="B220" t="s">
        <v>14</v>
      </c>
      <c r="C220" t="s">
        <v>42</v>
      </c>
      <c r="D220" t="s">
        <v>250</v>
      </c>
      <c r="E220" t="s">
        <v>1803</v>
      </c>
      <c r="H220" t="s">
        <v>1863</v>
      </c>
      <c r="J220" t="s">
        <v>1870</v>
      </c>
    </row>
    <row r="221" spans="1:10">
      <c r="A221" s="1">
        <f>HYPERLINK("https://cms.ls-nyc.org/matter/dynamic-profile/view/1897708","19-1897708")</f>
        <v>0</v>
      </c>
      <c r="B221" t="s">
        <v>15</v>
      </c>
      <c r="C221" t="s">
        <v>34</v>
      </c>
      <c r="D221" t="s">
        <v>251</v>
      </c>
      <c r="E221" t="s">
        <v>1825</v>
      </c>
      <c r="F221" t="s">
        <v>1853</v>
      </c>
      <c r="G221" t="s">
        <v>1861</v>
      </c>
      <c r="J221" t="s">
        <v>1867</v>
      </c>
    </row>
    <row r="222" spans="1:10">
      <c r="A222" s="1">
        <f>HYPERLINK("https://cms.ls-nyc.org/matter/dynamic-profile/view/1897735","19-1897735")</f>
        <v>0</v>
      </c>
      <c r="B222" t="s">
        <v>14</v>
      </c>
      <c r="C222" t="s">
        <v>42</v>
      </c>
      <c r="D222" t="s">
        <v>208</v>
      </c>
      <c r="E222" t="s">
        <v>1809</v>
      </c>
      <c r="H222" t="s">
        <v>1863</v>
      </c>
      <c r="J222" t="s">
        <v>1870</v>
      </c>
    </row>
    <row r="223" spans="1:10">
      <c r="A223" s="1">
        <f>HYPERLINK("https://cms.ls-nyc.org/matter/dynamic-profile/view/1897545","19-1897545")</f>
        <v>0</v>
      </c>
      <c r="B223" t="s">
        <v>10</v>
      </c>
      <c r="C223" t="s">
        <v>16</v>
      </c>
      <c r="D223" t="s">
        <v>252</v>
      </c>
      <c r="E223" t="s">
        <v>1809</v>
      </c>
      <c r="F223" t="s">
        <v>1853</v>
      </c>
      <c r="H223" t="s">
        <v>1863</v>
      </c>
      <c r="J223" t="s">
        <v>1871</v>
      </c>
    </row>
    <row r="224" spans="1:10">
      <c r="A224" s="1">
        <f>HYPERLINK("https://cms.ls-nyc.org/matter/dynamic-profile/view/1897548","19-1897548")</f>
        <v>0</v>
      </c>
      <c r="B224" t="s">
        <v>10</v>
      </c>
      <c r="C224" t="s">
        <v>16</v>
      </c>
      <c r="D224" t="s">
        <v>252</v>
      </c>
      <c r="E224" t="s">
        <v>1804</v>
      </c>
      <c r="F224" t="s">
        <v>1853</v>
      </c>
      <c r="G224" t="s">
        <v>1861</v>
      </c>
      <c r="J224" t="s">
        <v>1867</v>
      </c>
    </row>
    <row r="225" spans="1:10">
      <c r="A225" s="1">
        <f>HYPERLINK("https://cms.ls-nyc.org/matter/dynamic-profile/view/1897565","19-1897565")</f>
        <v>0</v>
      </c>
      <c r="B225" t="s">
        <v>10</v>
      </c>
      <c r="C225" t="s">
        <v>16</v>
      </c>
      <c r="D225" t="s">
        <v>253</v>
      </c>
      <c r="E225" t="s">
        <v>1804</v>
      </c>
      <c r="F225" t="s">
        <v>1853</v>
      </c>
      <c r="H225" t="s">
        <v>1863</v>
      </c>
      <c r="J225" t="s">
        <v>1867</v>
      </c>
    </row>
    <row r="226" spans="1:10">
      <c r="A226" s="1">
        <f>HYPERLINK("https://cms.ls-nyc.org/matter/dynamic-profile/view/1897607","19-1897607")</f>
        <v>0</v>
      </c>
      <c r="B226" t="s">
        <v>10</v>
      </c>
      <c r="C226" t="s">
        <v>16</v>
      </c>
      <c r="D226" t="s">
        <v>254</v>
      </c>
      <c r="E226" t="s">
        <v>1804</v>
      </c>
      <c r="G226" t="s">
        <v>1861</v>
      </c>
      <c r="J226" t="s">
        <v>1867</v>
      </c>
    </row>
    <row r="227" spans="1:10">
      <c r="A227" s="1">
        <f>HYPERLINK("https://cms.ls-nyc.org/matter/dynamic-profile/view/1897624","19-1897624")</f>
        <v>0</v>
      </c>
      <c r="B227" t="s">
        <v>12</v>
      </c>
      <c r="C227" t="s">
        <v>40</v>
      </c>
      <c r="D227" t="s">
        <v>255</v>
      </c>
      <c r="E227" t="s">
        <v>1802</v>
      </c>
      <c r="G227" t="s">
        <v>1861</v>
      </c>
      <c r="J227" t="s">
        <v>1869</v>
      </c>
    </row>
    <row r="228" spans="1:10">
      <c r="A228" s="1">
        <f>HYPERLINK("https://cms.ls-nyc.org/matter/dynamic-profile/view/1897662","19-1897662")</f>
        <v>0</v>
      </c>
      <c r="B228" t="s">
        <v>15</v>
      </c>
      <c r="C228" t="s">
        <v>34</v>
      </c>
      <c r="D228" t="s">
        <v>246</v>
      </c>
      <c r="E228" t="s">
        <v>1821</v>
      </c>
      <c r="F228" t="s">
        <v>1853</v>
      </c>
      <c r="H228" t="s">
        <v>1863</v>
      </c>
      <c r="J228" t="s">
        <v>1867</v>
      </c>
    </row>
    <row r="229" spans="1:10">
      <c r="A229" s="1">
        <f>HYPERLINK("https://cms.ls-nyc.org/matter/dynamic-profile/view/1897680","19-1897680")</f>
        <v>0</v>
      </c>
      <c r="B229" t="s">
        <v>12</v>
      </c>
      <c r="C229" t="s">
        <v>21</v>
      </c>
      <c r="D229" t="s">
        <v>256</v>
      </c>
      <c r="E229" t="s">
        <v>1804</v>
      </c>
      <c r="F229" t="s">
        <v>1853</v>
      </c>
      <c r="H229" t="s">
        <v>1863</v>
      </c>
      <c r="J229" t="s">
        <v>1869</v>
      </c>
    </row>
    <row r="230" spans="1:10">
      <c r="A230" s="1">
        <f>HYPERLINK("https://cms.ls-nyc.org/matter/dynamic-profile/view/1897490","19-1897490")</f>
        <v>0</v>
      </c>
      <c r="B230" t="s">
        <v>14</v>
      </c>
      <c r="C230" t="s">
        <v>28</v>
      </c>
      <c r="D230" t="s">
        <v>257</v>
      </c>
      <c r="E230" t="s">
        <v>1804</v>
      </c>
      <c r="F230" t="s">
        <v>1853</v>
      </c>
      <c r="H230" t="s">
        <v>1863</v>
      </c>
      <c r="J230" t="s">
        <v>1867</v>
      </c>
    </row>
    <row r="231" spans="1:10">
      <c r="A231" s="1">
        <f>HYPERLINK("https://cms.ls-nyc.org/matter/dynamic-profile/view/1897524","19-1897524")</f>
        <v>0</v>
      </c>
      <c r="B231" t="s">
        <v>10</v>
      </c>
      <c r="C231" t="s">
        <v>16</v>
      </c>
      <c r="D231" t="s">
        <v>258</v>
      </c>
      <c r="E231" t="s">
        <v>1803</v>
      </c>
      <c r="H231" t="s">
        <v>1863</v>
      </c>
      <c r="J231" t="s">
        <v>1870</v>
      </c>
    </row>
    <row r="232" spans="1:10">
      <c r="A232" s="1">
        <f>HYPERLINK("https://cms.ls-nyc.org/matter/dynamic-profile/view/1897288","19-1897288")</f>
        <v>0</v>
      </c>
      <c r="B232" t="s">
        <v>10</v>
      </c>
      <c r="C232" t="s">
        <v>16</v>
      </c>
      <c r="D232" t="s">
        <v>259</v>
      </c>
      <c r="E232" t="s">
        <v>1815</v>
      </c>
      <c r="F232" t="s">
        <v>1853</v>
      </c>
      <c r="H232" t="s">
        <v>1863</v>
      </c>
      <c r="J232" t="s">
        <v>1867</v>
      </c>
    </row>
    <row r="233" spans="1:10">
      <c r="A233" s="1">
        <f>HYPERLINK("https://cms.ls-nyc.org/matter/dynamic-profile/view/1897300","19-1897300")</f>
        <v>0</v>
      </c>
      <c r="B233" t="s">
        <v>10</v>
      </c>
      <c r="C233" t="s">
        <v>44</v>
      </c>
      <c r="D233" t="s">
        <v>260</v>
      </c>
      <c r="E233" t="s">
        <v>1815</v>
      </c>
      <c r="F233" t="s">
        <v>1856</v>
      </c>
      <c r="H233" t="s">
        <v>1863</v>
      </c>
      <c r="J233" t="s">
        <v>1866</v>
      </c>
    </row>
    <row r="234" spans="1:10">
      <c r="A234" s="1">
        <f>HYPERLINK("https://cms.ls-nyc.org/matter/dynamic-profile/view/1897374","19-1897374")</f>
        <v>0</v>
      </c>
      <c r="B234" t="s">
        <v>15</v>
      </c>
      <c r="C234" t="s">
        <v>34</v>
      </c>
      <c r="D234" t="s">
        <v>261</v>
      </c>
      <c r="E234" t="s">
        <v>1802</v>
      </c>
      <c r="F234" t="s">
        <v>1853</v>
      </c>
      <c r="H234" t="s">
        <v>1863</v>
      </c>
      <c r="J234" t="s">
        <v>1869</v>
      </c>
    </row>
    <row r="235" spans="1:10">
      <c r="A235" s="1">
        <f>HYPERLINK("https://cms.ls-nyc.org/matter/dynamic-profile/view/1897385","19-1897385")</f>
        <v>0</v>
      </c>
      <c r="B235" t="s">
        <v>15</v>
      </c>
      <c r="C235" t="s">
        <v>34</v>
      </c>
      <c r="D235" t="s">
        <v>262</v>
      </c>
      <c r="E235" t="s">
        <v>1802</v>
      </c>
      <c r="F235" t="s">
        <v>1853</v>
      </c>
      <c r="H235" t="s">
        <v>1863</v>
      </c>
      <c r="J235" t="s">
        <v>1869</v>
      </c>
    </row>
    <row r="236" spans="1:10">
      <c r="A236" s="1">
        <f>HYPERLINK("https://cms.ls-nyc.org/matter/dynamic-profile/view/1897397","19-1897397")</f>
        <v>0</v>
      </c>
      <c r="B236" t="s">
        <v>15</v>
      </c>
      <c r="C236" t="s">
        <v>35</v>
      </c>
      <c r="D236" t="s">
        <v>263</v>
      </c>
      <c r="G236" t="s">
        <v>1861</v>
      </c>
      <c r="J236" t="s">
        <v>1866</v>
      </c>
    </row>
    <row r="237" spans="1:10">
      <c r="A237" s="1">
        <f>HYPERLINK("https://cms.ls-nyc.org/matter/dynamic-profile/view/1897215","19-1897215")</f>
        <v>0</v>
      </c>
      <c r="B237" t="s">
        <v>14</v>
      </c>
      <c r="C237" t="s">
        <v>28</v>
      </c>
      <c r="D237" t="s">
        <v>264</v>
      </c>
      <c r="E237" t="s">
        <v>1800</v>
      </c>
      <c r="F237" t="s">
        <v>1858</v>
      </c>
      <c r="H237" t="s">
        <v>1863</v>
      </c>
      <c r="J237" t="s">
        <v>1868</v>
      </c>
    </row>
    <row r="238" spans="1:10">
      <c r="A238" s="1">
        <f>HYPERLINK("https://cms.ls-nyc.org/matter/dynamic-profile/view/1897139","19-1897139")</f>
        <v>0</v>
      </c>
      <c r="B238" t="s">
        <v>14</v>
      </c>
      <c r="C238" t="s">
        <v>28</v>
      </c>
      <c r="D238" t="s">
        <v>265</v>
      </c>
      <c r="E238" t="s">
        <v>1809</v>
      </c>
      <c r="F238" t="s">
        <v>1854</v>
      </c>
      <c r="H238" t="s">
        <v>1863</v>
      </c>
      <c r="J238" t="s">
        <v>1871</v>
      </c>
    </row>
    <row r="239" spans="1:10">
      <c r="A239" s="1">
        <f>HYPERLINK("https://cms.ls-nyc.org/matter/dynamic-profile/view/1897203","19-1897203")</f>
        <v>0</v>
      </c>
      <c r="B239" t="s">
        <v>14</v>
      </c>
      <c r="C239" t="s">
        <v>31</v>
      </c>
      <c r="D239" t="s">
        <v>266</v>
      </c>
      <c r="E239" t="s">
        <v>1821</v>
      </c>
      <c r="F239" t="s">
        <v>1856</v>
      </c>
      <c r="G239" t="s">
        <v>1861</v>
      </c>
      <c r="H239" t="s">
        <v>1864</v>
      </c>
      <c r="J239" t="s">
        <v>1866</v>
      </c>
    </row>
    <row r="240" spans="1:10">
      <c r="A240" s="1">
        <f>HYPERLINK("https://cms.ls-nyc.org/matter/dynamic-profile/view/1897213","19-1897213")</f>
        <v>0</v>
      </c>
      <c r="B240" t="s">
        <v>10</v>
      </c>
      <c r="C240" t="s">
        <v>30</v>
      </c>
      <c r="D240" t="s">
        <v>267</v>
      </c>
      <c r="E240" t="s">
        <v>1815</v>
      </c>
      <c r="F240" t="s">
        <v>1856</v>
      </c>
      <c r="H240" t="s">
        <v>1863</v>
      </c>
      <c r="J240" t="s">
        <v>1866</v>
      </c>
    </row>
    <row r="241" spans="1:10">
      <c r="A241" s="1">
        <f>HYPERLINK("https://cms.ls-nyc.org/matter/dynamic-profile/view/1897222","19-1897222")</f>
        <v>0</v>
      </c>
      <c r="B241" t="s">
        <v>11</v>
      </c>
      <c r="C241" t="s">
        <v>37</v>
      </c>
      <c r="D241" t="s">
        <v>268</v>
      </c>
      <c r="E241" t="s">
        <v>1809</v>
      </c>
      <c r="F241" t="s">
        <v>1855</v>
      </c>
      <c r="G241" t="s">
        <v>1861</v>
      </c>
      <c r="J241" t="s">
        <v>1870</v>
      </c>
    </row>
    <row r="242" spans="1:10">
      <c r="A242" s="1">
        <f>HYPERLINK("https://cms.ls-nyc.org/matter/dynamic-profile/view/1897242","19-1897242")</f>
        <v>0</v>
      </c>
      <c r="B242" t="s">
        <v>10</v>
      </c>
      <c r="C242" t="s">
        <v>16</v>
      </c>
      <c r="D242" t="s">
        <v>269</v>
      </c>
      <c r="F242" t="s">
        <v>1853</v>
      </c>
      <c r="H242" t="s">
        <v>1863</v>
      </c>
      <c r="J242" t="s">
        <v>1866</v>
      </c>
    </row>
    <row r="243" spans="1:10">
      <c r="A243" s="1">
        <f>HYPERLINK("https://cms.ls-nyc.org/matter/dynamic-profile/view/1897243","19-1897243")</f>
        <v>0</v>
      </c>
      <c r="B243" t="s">
        <v>10</v>
      </c>
      <c r="C243" t="s">
        <v>16</v>
      </c>
      <c r="D243" t="s">
        <v>270</v>
      </c>
      <c r="F243" t="s">
        <v>1853</v>
      </c>
      <c r="H243" t="s">
        <v>1863</v>
      </c>
      <c r="J243" t="s">
        <v>1866</v>
      </c>
    </row>
    <row r="244" spans="1:10">
      <c r="A244" s="1">
        <f>HYPERLINK("https://cms.ls-nyc.org/matter/dynamic-profile/view/1897272","19-1897272")</f>
        <v>0</v>
      </c>
      <c r="B244" t="s">
        <v>11</v>
      </c>
      <c r="C244" t="s">
        <v>37</v>
      </c>
      <c r="D244" t="s">
        <v>271</v>
      </c>
      <c r="E244" t="s">
        <v>1807</v>
      </c>
      <c r="F244" t="s">
        <v>1856</v>
      </c>
      <c r="H244" t="s">
        <v>1863</v>
      </c>
      <c r="J244" t="s">
        <v>1866</v>
      </c>
    </row>
    <row r="245" spans="1:10">
      <c r="A245" s="1">
        <f>HYPERLINK("https://cms.ls-nyc.org/matter/dynamic-profile/view/1897101","19-1897101")</f>
        <v>0</v>
      </c>
      <c r="B245" t="s">
        <v>14</v>
      </c>
      <c r="C245" t="s">
        <v>31</v>
      </c>
      <c r="D245" t="s">
        <v>272</v>
      </c>
      <c r="E245" t="s">
        <v>1812</v>
      </c>
      <c r="F245" t="s">
        <v>1853</v>
      </c>
      <c r="H245" t="s">
        <v>1863</v>
      </c>
      <c r="J245" t="s">
        <v>1867</v>
      </c>
    </row>
    <row r="246" spans="1:10">
      <c r="A246" s="1">
        <f>HYPERLINK("https://cms.ls-nyc.org/matter/dynamic-profile/view/1896873","19-1896873")</f>
        <v>0</v>
      </c>
      <c r="B246" t="s">
        <v>11</v>
      </c>
      <c r="C246" t="s">
        <v>18</v>
      </c>
      <c r="D246" t="s">
        <v>273</v>
      </c>
      <c r="E246" t="s">
        <v>1816</v>
      </c>
      <c r="F246" t="s">
        <v>1858</v>
      </c>
      <c r="G246" t="s">
        <v>1861</v>
      </c>
      <c r="H246" t="s">
        <v>1864</v>
      </c>
      <c r="J246" t="s">
        <v>1868</v>
      </c>
    </row>
    <row r="247" spans="1:10">
      <c r="A247" s="1">
        <f>HYPERLINK("https://cms.ls-nyc.org/matter/dynamic-profile/view/1896918","19-1896918")</f>
        <v>0</v>
      </c>
      <c r="B247" t="s">
        <v>15</v>
      </c>
      <c r="C247" t="s">
        <v>27</v>
      </c>
      <c r="D247" t="s">
        <v>274</v>
      </c>
      <c r="E247" t="s">
        <v>1823</v>
      </c>
      <c r="G247" t="s">
        <v>1861</v>
      </c>
      <c r="J247" t="s">
        <v>1867</v>
      </c>
    </row>
    <row r="248" spans="1:10">
      <c r="A248" s="1">
        <f>HYPERLINK("https://cms.ls-nyc.org/matter/dynamic-profile/view/1896943","19-1896943")</f>
        <v>0</v>
      </c>
      <c r="B248" t="s">
        <v>14</v>
      </c>
      <c r="C248" t="s">
        <v>28</v>
      </c>
      <c r="D248" t="s">
        <v>275</v>
      </c>
      <c r="E248" t="s">
        <v>1804</v>
      </c>
      <c r="F248" t="s">
        <v>1853</v>
      </c>
      <c r="H248" t="s">
        <v>1863</v>
      </c>
      <c r="J248" t="s">
        <v>1867</v>
      </c>
    </row>
    <row r="249" spans="1:10">
      <c r="A249" s="1">
        <f>HYPERLINK("https://cms.ls-nyc.org/matter/dynamic-profile/view/1896961","19-1896961")</f>
        <v>0</v>
      </c>
      <c r="B249" t="s">
        <v>11</v>
      </c>
      <c r="C249" t="s">
        <v>37</v>
      </c>
      <c r="D249" t="s">
        <v>276</v>
      </c>
      <c r="E249" t="s">
        <v>1803</v>
      </c>
      <c r="F249" t="s">
        <v>1855</v>
      </c>
      <c r="H249" t="s">
        <v>1863</v>
      </c>
      <c r="J249" t="s">
        <v>1871</v>
      </c>
    </row>
    <row r="250" spans="1:10">
      <c r="A250" s="1">
        <f>HYPERLINK("https://cms.ls-nyc.org/matter/dynamic-profile/view/1896962","19-1896962")</f>
        <v>0</v>
      </c>
      <c r="B250" t="s">
        <v>11</v>
      </c>
      <c r="C250" t="s">
        <v>37</v>
      </c>
      <c r="D250" t="s">
        <v>277</v>
      </c>
      <c r="E250" t="s">
        <v>1803</v>
      </c>
      <c r="F250" t="s">
        <v>1855</v>
      </c>
      <c r="H250" t="s">
        <v>1863</v>
      </c>
      <c r="J250" t="s">
        <v>1870</v>
      </c>
    </row>
    <row r="251" spans="1:10">
      <c r="A251" s="1">
        <f>HYPERLINK("https://cms.ls-nyc.org/matter/dynamic-profile/view/1896737","19-1896737")</f>
        <v>0</v>
      </c>
      <c r="B251" t="s">
        <v>10</v>
      </c>
      <c r="C251" t="s">
        <v>30</v>
      </c>
      <c r="D251" t="s">
        <v>278</v>
      </c>
      <c r="E251" t="s">
        <v>1815</v>
      </c>
      <c r="F251" t="s">
        <v>1856</v>
      </c>
      <c r="H251" t="s">
        <v>1863</v>
      </c>
      <c r="J251" t="s">
        <v>1866</v>
      </c>
    </row>
    <row r="252" spans="1:10">
      <c r="A252" s="1">
        <f>HYPERLINK("https://cms.ls-nyc.org/matter/dynamic-profile/view/1896775","19-1896775")</f>
        <v>0</v>
      </c>
      <c r="B252" t="s">
        <v>13</v>
      </c>
      <c r="C252" t="s">
        <v>22</v>
      </c>
      <c r="D252" t="s">
        <v>279</v>
      </c>
      <c r="E252" t="s">
        <v>1807</v>
      </c>
      <c r="F252" t="s">
        <v>1853</v>
      </c>
      <c r="H252" t="s">
        <v>1863</v>
      </c>
      <c r="J252" t="s">
        <v>1869</v>
      </c>
    </row>
    <row r="253" spans="1:10">
      <c r="A253" s="1">
        <f>HYPERLINK("https://cms.ls-nyc.org/matter/dynamic-profile/view/1896838","19-1896838")</f>
        <v>0</v>
      </c>
      <c r="B253" t="s">
        <v>11</v>
      </c>
      <c r="C253" t="s">
        <v>39</v>
      </c>
      <c r="D253" t="s">
        <v>280</v>
      </c>
      <c r="E253" t="s">
        <v>1814</v>
      </c>
      <c r="F253" t="s">
        <v>1853</v>
      </c>
      <c r="G253" t="s">
        <v>1861</v>
      </c>
      <c r="J253" t="s">
        <v>1869</v>
      </c>
    </row>
    <row r="254" spans="1:10">
      <c r="A254" s="1">
        <f>HYPERLINK("https://cms.ls-nyc.org/matter/dynamic-profile/view/1896610","19-1896610")</f>
        <v>0</v>
      </c>
      <c r="B254" t="s">
        <v>15</v>
      </c>
      <c r="C254" t="s">
        <v>35</v>
      </c>
      <c r="D254" t="s">
        <v>281</v>
      </c>
      <c r="G254" t="s">
        <v>1861</v>
      </c>
      <c r="J254" t="s">
        <v>1866</v>
      </c>
    </row>
    <row r="255" spans="1:10">
      <c r="A255" s="1">
        <f>HYPERLINK("https://cms.ls-nyc.org/matter/dynamic-profile/view/1896619","19-1896619")</f>
        <v>0</v>
      </c>
      <c r="B255" t="s">
        <v>10</v>
      </c>
      <c r="C255" t="s">
        <v>16</v>
      </c>
      <c r="D255" t="s">
        <v>282</v>
      </c>
      <c r="F255" t="s">
        <v>1856</v>
      </c>
      <c r="H255" t="s">
        <v>1863</v>
      </c>
      <c r="J255" t="s">
        <v>1866</v>
      </c>
    </row>
    <row r="256" spans="1:10">
      <c r="A256" s="1">
        <f>HYPERLINK("https://cms.ls-nyc.org/matter/dynamic-profile/view/1896628","19-1896628")</f>
        <v>0</v>
      </c>
      <c r="B256" t="s">
        <v>10</v>
      </c>
      <c r="C256" t="s">
        <v>16</v>
      </c>
      <c r="D256" t="s">
        <v>283</v>
      </c>
      <c r="F256" t="s">
        <v>1856</v>
      </c>
      <c r="G256" t="s">
        <v>1861</v>
      </c>
      <c r="J256" t="s">
        <v>1866</v>
      </c>
    </row>
    <row r="257" spans="1:10">
      <c r="A257" s="1">
        <f>HYPERLINK("https://cms.ls-nyc.org/matter/dynamic-profile/view/1896645","19-1896645")</f>
        <v>0</v>
      </c>
      <c r="B257" t="s">
        <v>10</v>
      </c>
      <c r="C257" t="s">
        <v>16</v>
      </c>
      <c r="D257" t="s">
        <v>284</v>
      </c>
      <c r="E257" t="s">
        <v>1803</v>
      </c>
      <c r="F257" t="s">
        <v>1855</v>
      </c>
      <c r="H257" t="s">
        <v>1863</v>
      </c>
      <c r="J257" t="s">
        <v>1870</v>
      </c>
    </row>
    <row r="258" spans="1:10">
      <c r="A258" s="1">
        <f>HYPERLINK("https://cms.ls-nyc.org/matter/dynamic-profile/view/1896662","19-1896662")</f>
        <v>0</v>
      </c>
      <c r="B258" t="s">
        <v>10</v>
      </c>
      <c r="C258" t="s">
        <v>16</v>
      </c>
      <c r="D258" t="s">
        <v>285</v>
      </c>
      <c r="E258" t="s">
        <v>1803</v>
      </c>
      <c r="F258" t="s">
        <v>1855</v>
      </c>
      <c r="G258" t="s">
        <v>1861</v>
      </c>
      <c r="H258" t="s">
        <v>1864</v>
      </c>
      <c r="J258" t="s">
        <v>1870</v>
      </c>
    </row>
    <row r="259" spans="1:10">
      <c r="A259" s="1">
        <f>HYPERLINK("https://cms.ls-nyc.org/matter/dynamic-profile/view/1896521","19-1896521")</f>
        <v>0</v>
      </c>
      <c r="B259" t="s">
        <v>10</v>
      </c>
      <c r="C259" t="s">
        <v>30</v>
      </c>
      <c r="D259" t="s">
        <v>286</v>
      </c>
      <c r="E259" t="s">
        <v>1807</v>
      </c>
      <c r="F259" t="s">
        <v>1853</v>
      </c>
      <c r="H259" t="s">
        <v>1863</v>
      </c>
      <c r="J259" t="s">
        <v>1869</v>
      </c>
    </row>
    <row r="260" spans="1:10">
      <c r="A260" s="1">
        <f>HYPERLINK("https://cms.ls-nyc.org/matter/dynamic-profile/view/1896558","19-1896558")</f>
        <v>0</v>
      </c>
      <c r="B260" t="s">
        <v>10</v>
      </c>
      <c r="C260" t="s">
        <v>17</v>
      </c>
      <c r="D260" t="s">
        <v>287</v>
      </c>
      <c r="E260" t="s">
        <v>1815</v>
      </c>
      <c r="F260" t="s">
        <v>1853</v>
      </c>
      <c r="H260" t="s">
        <v>1863</v>
      </c>
      <c r="J260" t="s">
        <v>1867</v>
      </c>
    </row>
    <row r="261" spans="1:10">
      <c r="A261" s="1">
        <f>HYPERLINK("https://cms.ls-nyc.org/matter/dynamic-profile/view/1896562","19-1896562")</f>
        <v>0</v>
      </c>
      <c r="B261" t="s">
        <v>10</v>
      </c>
      <c r="C261" t="s">
        <v>30</v>
      </c>
      <c r="D261" t="s">
        <v>288</v>
      </c>
      <c r="E261" t="s">
        <v>1815</v>
      </c>
      <c r="F261" t="s">
        <v>1856</v>
      </c>
      <c r="H261" t="s">
        <v>1863</v>
      </c>
      <c r="J261" t="s">
        <v>1866</v>
      </c>
    </row>
    <row r="262" spans="1:10">
      <c r="A262" s="1">
        <f>HYPERLINK("https://cms.ls-nyc.org/matter/dynamic-profile/view/1896577","19-1896577")</f>
        <v>0</v>
      </c>
      <c r="B262" t="s">
        <v>10</v>
      </c>
      <c r="C262" t="s">
        <v>30</v>
      </c>
      <c r="D262" t="s">
        <v>289</v>
      </c>
      <c r="E262" t="s">
        <v>1815</v>
      </c>
      <c r="F262" t="s">
        <v>1856</v>
      </c>
      <c r="H262" t="s">
        <v>1863</v>
      </c>
      <c r="J262" t="s">
        <v>1866</v>
      </c>
    </row>
    <row r="263" spans="1:10">
      <c r="A263" s="1">
        <f>HYPERLINK("https://cms.ls-nyc.org/matter/dynamic-profile/view/1896407","19-1896407")</f>
        <v>0</v>
      </c>
      <c r="B263" t="s">
        <v>10</v>
      </c>
      <c r="C263" t="s">
        <v>16</v>
      </c>
      <c r="D263" t="s">
        <v>290</v>
      </c>
      <c r="E263" t="s">
        <v>1803</v>
      </c>
      <c r="F263" t="s">
        <v>1855</v>
      </c>
      <c r="G263" t="s">
        <v>1861</v>
      </c>
      <c r="J263" t="s">
        <v>1870</v>
      </c>
    </row>
    <row r="264" spans="1:10">
      <c r="A264" s="1">
        <f>HYPERLINK("https://cms.ls-nyc.org/matter/dynamic-profile/view/1896424","19-1896424")</f>
        <v>0</v>
      </c>
      <c r="B264" t="s">
        <v>14</v>
      </c>
      <c r="C264" t="s">
        <v>42</v>
      </c>
      <c r="D264" t="s">
        <v>291</v>
      </c>
      <c r="E264" t="s">
        <v>1802</v>
      </c>
      <c r="F264" t="s">
        <v>1853</v>
      </c>
      <c r="H264" t="s">
        <v>1863</v>
      </c>
      <c r="J264" t="s">
        <v>1869</v>
      </c>
    </row>
    <row r="265" spans="1:10">
      <c r="A265" s="1">
        <f>HYPERLINK("https://cms.ls-nyc.org/matter/dynamic-profile/view/1896430","19-1896430")</f>
        <v>0</v>
      </c>
      <c r="B265" t="s">
        <v>14</v>
      </c>
      <c r="C265" t="s">
        <v>42</v>
      </c>
      <c r="D265" t="s">
        <v>291</v>
      </c>
      <c r="E265" t="s">
        <v>1810</v>
      </c>
      <c r="F265" t="s">
        <v>1853</v>
      </c>
      <c r="H265" t="s">
        <v>1863</v>
      </c>
      <c r="J265" t="s">
        <v>1869</v>
      </c>
    </row>
    <row r="266" spans="1:10">
      <c r="A266" s="1">
        <f>HYPERLINK("https://cms.ls-nyc.org/matter/dynamic-profile/view/1896432","19-1896432")</f>
        <v>0</v>
      </c>
      <c r="B266" t="s">
        <v>11</v>
      </c>
      <c r="C266" t="s">
        <v>23</v>
      </c>
      <c r="D266" t="s">
        <v>292</v>
      </c>
      <c r="E266" t="s">
        <v>1814</v>
      </c>
      <c r="G266" t="s">
        <v>1861</v>
      </c>
      <c r="J266" t="s">
        <v>1869</v>
      </c>
    </row>
    <row r="267" spans="1:10">
      <c r="A267" s="1">
        <f>HYPERLINK("https://cms.ls-nyc.org/matter/dynamic-profile/view/1896445","19-1896445")</f>
        <v>0</v>
      </c>
      <c r="B267" t="s">
        <v>11</v>
      </c>
      <c r="C267" t="s">
        <v>41</v>
      </c>
      <c r="D267" t="s">
        <v>293</v>
      </c>
      <c r="E267" t="s">
        <v>1821</v>
      </c>
      <c r="F267" t="s">
        <v>1856</v>
      </c>
      <c r="G267" t="s">
        <v>1861</v>
      </c>
      <c r="H267" t="s">
        <v>1864</v>
      </c>
      <c r="J267" t="s">
        <v>1866</v>
      </c>
    </row>
    <row r="268" spans="1:10">
      <c r="A268" s="1">
        <f>HYPERLINK("https://cms.ls-nyc.org/matter/dynamic-profile/view/1896459","19-1896459")</f>
        <v>0</v>
      </c>
      <c r="B268" t="s">
        <v>12</v>
      </c>
      <c r="C268" t="s">
        <v>21</v>
      </c>
      <c r="D268" t="s">
        <v>294</v>
      </c>
      <c r="E268" t="s">
        <v>1803</v>
      </c>
      <c r="F268" t="s">
        <v>1855</v>
      </c>
      <c r="H268" t="s">
        <v>1863</v>
      </c>
      <c r="J268" t="s">
        <v>1871</v>
      </c>
    </row>
    <row r="269" spans="1:10">
      <c r="A269" s="1">
        <f>HYPERLINK("https://cms.ls-nyc.org/matter/dynamic-profile/view/1896460","19-1896460")</f>
        <v>0</v>
      </c>
      <c r="B269" t="s">
        <v>12</v>
      </c>
      <c r="C269" t="s">
        <v>21</v>
      </c>
      <c r="D269" t="s">
        <v>295</v>
      </c>
      <c r="E269" t="s">
        <v>1802</v>
      </c>
      <c r="F269" t="s">
        <v>1853</v>
      </c>
      <c r="H269" t="s">
        <v>1863</v>
      </c>
      <c r="J269" t="s">
        <v>1869</v>
      </c>
    </row>
    <row r="270" spans="1:10">
      <c r="A270" s="1">
        <f>HYPERLINK("https://cms.ls-nyc.org/matter/dynamic-profile/view/1896165","19-1896165")</f>
        <v>0</v>
      </c>
      <c r="B270" t="s">
        <v>12</v>
      </c>
      <c r="C270" t="s">
        <v>21</v>
      </c>
      <c r="D270" t="s">
        <v>296</v>
      </c>
      <c r="E270" t="s">
        <v>1804</v>
      </c>
      <c r="F270" t="s">
        <v>1853</v>
      </c>
      <c r="H270" t="s">
        <v>1863</v>
      </c>
      <c r="J270" t="s">
        <v>1869</v>
      </c>
    </row>
    <row r="271" spans="1:10">
      <c r="A271" s="1">
        <f>HYPERLINK("https://cms.ls-nyc.org/matter/dynamic-profile/view/1896180","19-1896180")</f>
        <v>0</v>
      </c>
      <c r="B271" t="s">
        <v>10</v>
      </c>
      <c r="C271" t="s">
        <v>16</v>
      </c>
      <c r="D271" t="s">
        <v>297</v>
      </c>
      <c r="E271" t="s">
        <v>1807</v>
      </c>
      <c r="F271" t="s">
        <v>1853</v>
      </c>
      <c r="H271" t="s">
        <v>1863</v>
      </c>
      <c r="J271" t="s">
        <v>1869</v>
      </c>
    </row>
    <row r="272" spans="1:10">
      <c r="A272" s="1">
        <f>HYPERLINK("https://cms.ls-nyc.org/matter/dynamic-profile/view/1896186","19-1896186")</f>
        <v>0</v>
      </c>
      <c r="B272" t="s">
        <v>14</v>
      </c>
      <c r="C272" t="s">
        <v>25</v>
      </c>
      <c r="D272" t="s">
        <v>217</v>
      </c>
      <c r="E272" t="s">
        <v>1809</v>
      </c>
      <c r="F272" t="s">
        <v>1855</v>
      </c>
      <c r="H272" t="s">
        <v>1863</v>
      </c>
      <c r="J272" t="s">
        <v>1870</v>
      </c>
    </row>
    <row r="273" spans="1:10">
      <c r="A273" s="1">
        <f>HYPERLINK("https://cms.ls-nyc.org/matter/dynamic-profile/view/1896192","19-1896192")</f>
        <v>0</v>
      </c>
      <c r="B273" t="s">
        <v>14</v>
      </c>
      <c r="C273" t="s">
        <v>25</v>
      </c>
      <c r="D273" t="s">
        <v>207</v>
      </c>
      <c r="E273" t="s">
        <v>1809</v>
      </c>
      <c r="F273" t="s">
        <v>1855</v>
      </c>
      <c r="H273" t="s">
        <v>1863</v>
      </c>
      <c r="J273" t="s">
        <v>1870</v>
      </c>
    </row>
    <row r="274" spans="1:10">
      <c r="A274" s="1">
        <f>HYPERLINK("https://cms.ls-nyc.org/matter/dynamic-profile/view/1896195","19-1896195")</f>
        <v>0</v>
      </c>
      <c r="B274" t="s">
        <v>11</v>
      </c>
      <c r="C274" t="s">
        <v>41</v>
      </c>
      <c r="D274" t="s">
        <v>298</v>
      </c>
      <c r="E274" t="s">
        <v>1815</v>
      </c>
      <c r="F274" t="s">
        <v>1856</v>
      </c>
      <c r="H274" t="s">
        <v>1863</v>
      </c>
      <c r="J274" t="s">
        <v>1866</v>
      </c>
    </row>
    <row r="275" spans="1:10">
      <c r="A275" s="1">
        <f>HYPERLINK("https://cms.ls-nyc.org/matter/dynamic-profile/view/1896232","19-1896232")</f>
        <v>0</v>
      </c>
      <c r="B275" t="s">
        <v>14</v>
      </c>
      <c r="C275" t="s">
        <v>31</v>
      </c>
      <c r="D275" t="s">
        <v>223</v>
      </c>
      <c r="E275" t="s">
        <v>1802</v>
      </c>
      <c r="F275" t="s">
        <v>1855</v>
      </c>
      <c r="H275" t="s">
        <v>1863</v>
      </c>
      <c r="J275" t="s">
        <v>1869</v>
      </c>
    </row>
    <row r="276" spans="1:10">
      <c r="A276" s="1">
        <f>HYPERLINK("https://cms.ls-nyc.org/matter/dynamic-profile/view/1896405","19-1896405")</f>
        <v>0</v>
      </c>
      <c r="B276" t="s">
        <v>13</v>
      </c>
      <c r="C276" t="s">
        <v>43</v>
      </c>
      <c r="D276" t="s">
        <v>299</v>
      </c>
      <c r="E276" t="s">
        <v>1803</v>
      </c>
      <c r="F276" t="s">
        <v>1855</v>
      </c>
      <c r="H276" t="s">
        <v>1863</v>
      </c>
      <c r="J276" t="s">
        <v>1870</v>
      </c>
    </row>
    <row r="277" spans="1:10">
      <c r="A277" s="1">
        <f>HYPERLINK("https://cms.ls-nyc.org/matter/dynamic-profile/view/1896458","19-1896458")</f>
        <v>0</v>
      </c>
      <c r="B277" t="s">
        <v>11</v>
      </c>
      <c r="C277" t="s">
        <v>36</v>
      </c>
      <c r="D277" t="s">
        <v>300</v>
      </c>
      <c r="E277" t="s">
        <v>1809</v>
      </c>
      <c r="F277" t="s">
        <v>1859</v>
      </c>
      <c r="H277" t="s">
        <v>1863</v>
      </c>
      <c r="J277" t="s">
        <v>1868</v>
      </c>
    </row>
    <row r="278" spans="1:10">
      <c r="A278" s="1">
        <f>HYPERLINK("https://cms.ls-nyc.org/matter/dynamic-profile/view/1896071","19-1896071")</f>
        <v>0</v>
      </c>
      <c r="B278" t="s">
        <v>14</v>
      </c>
      <c r="C278" t="s">
        <v>45</v>
      </c>
      <c r="D278" t="s">
        <v>301</v>
      </c>
      <c r="G278" t="s">
        <v>1861</v>
      </c>
      <c r="J278" t="s">
        <v>1866</v>
      </c>
    </row>
    <row r="279" spans="1:10">
      <c r="A279" s="1">
        <f>HYPERLINK("https://cms.ls-nyc.org/matter/dynamic-profile/view/1896100","19-1896100")</f>
        <v>0</v>
      </c>
      <c r="B279" t="s">
        <v>11</v>
      </c>
      <c r="C279" t="s">
        <v>39</v>
      </c>
      <c r="D279" t="s">
        <v>302</v>
      </c>
      <c r="E279" t="s">
        <v>1809</v>
      </c>
      <c r="F279" t="s">
        <v>1855</v>
      </c>
      <c r="G279" t="s">
        <v>1861</v>
      </c>
      <c r="J279" t="s">
        <v>1871</v>
      </c>
    </row>
    <row r="280" spans="1:10">
      <c r="A280" s="1">
        <f>HYPERLINK("https://cms.ls-nyc.org/matter/dynamic-profile/view/1896117","19-1896117")</f>
        <v>0</v>
      </c>
      <c r="B280" t="s">
        <v>10</v>
      </c>
      <c r="C280" t="s">
        <v>16</v>
      </c>
      <c r="D280" t="s">
        <v>248</v>
      </c>
      <c r="E280" t="s">
        <v>1809</v>
      </c>
      <c r="F280" t="s">
        <v>1855</v>
      </c>
      <c r="H280" t="s">
        <v>1863</v>
      </c>
      <c r="J280" t="s">
        <v>1871</v>
      </c>
    </row>
    <row r="281" spans="1:10">
      <c r="A281" s="1">
        <f>HYPERLINK("https://cms.ls-nyc.org/matter/dynamic-profile/view/1896313","19-1896313")</f>
        <v>0</v>
      </c>
      <c r="B281" t="s">
        <v>13</v>
      </c>
      <c r="C281" t="s">
        <v>29</v>
      </c>
      <c r="D281" t="s">
        <v>303</v>
      </c>
      <c r="F281" t="s">
        <v>1857</v>
      </c>
      <c r="H281" t="s">
        <v>1863</v>
      </c>
      <c r="J281" t="s">
        <v>1869</v>
      </c>
    </row>
    <row r="282" spans="1:10">
      <c r="A282" s="1">
        <f>HYPERLINK("https://cms.ls-nyc.org/matter/dynamic-profile/view/1896317","19-1896317")</f>
        <v>0</v>
      </c>
      <c r="B282" t="s">
        <v>13</v>
      </c>
      <c r="C282" t="s">
        <v>29</v>
      </c>
      <c r="D282" t="s">
        <v>303</v>
      </c>
      <c r="E282" t="s">
        <v>1807</v>
      </c>
      <c r="F282" t="s">
        <v>1853</v>
      </c>
      <c r="H282" t="s">
        <v>1863</v>
      </c>
      <c r="J282" t="s">
        <v>1869</v>
      </c>
    </row>
    <row r="283" spans="1:10">
      <c r="A283" s="1">
        <f>HYPERLINK("https://cms.ls-nyc.org/matter/dynamic-profile/view/1896319","19-1896319")</f>
        <v>0</v>
      </c>
      <c r="B283" t="s">
        <v>13</v>
      </c>
      <c r="C283" t="s">
        <v>29</v>
      </c>
      <c r="D283" t="s">
        <v>304</v>
      </c>
      <c r="E283" t="s">
        <v>1807</v>
      </c>
      <c r="F283" t="s">
        <v>1853</v>
      </c>
      <c r="H283" t="s">
        <v>1863</v>
      </c>
      <c r="J283" t="s">
        <v>1869</v>
      </c>
    </row>
    <row r="284" spans="1:10">
      <c r="A284" s="1">
        <f>HYPERLINK("https://cms.ls-nyc.org/matter/dynamic-profile/view/1895868","19-1895868")</f>
        <v>0</v>
      </c>
      <c r="B284" t="s">
        <v>14</v>
      </c>
      <c r="C284" t="s">
        <v>42</v>
      </c>
      <c r="D284" t="s">
        <v>305</v>
      </c>
      <c r="E284" t="s">
        <v>1819</v>
      </c>
      <c r="F284" t="s">
        <v>1858</v>
      </c>
      <c r="G284" t="s">
        <v>1861</v>
      </c>
      <c r="H284" t="s">
        <v>1864</v>
      </c>
      <c r="J284" t="s">
        <v>1868</v>
      </c>
    </row>
    <row r="285" spans="1:10">
      <c r="A285" s="1">
        <f>HYPERLINK("https://cms.ls-nyc.org/matter/dynamic-profile/view/1895876","19-1895876")</f>
        <v>0</v>
      </c>
      <c r="B285" t="s">
        <v>15</v>
      </c>
      <c r="C285" t="s">
        <v>34</v>
      </c>
      <c r="D285" t="s">
        <v>306</v>
      </c>
      <c r="E285" t="s">
        <v>1816</v>
      </c>
      <c r="F285" t="s">
        <v>1853</v>
      </c>
      <c r="G285" t="s">
        <v>1861</v>
      </c>
      <c r="J285" t="s">
        <v>1867</v>
      </c>
    </row>
    <row r="286" spans="1:10">
      <c r="A286" s="1">
        <f>HYPERLINK("https://cms.ls-nyc.org/matter/dynamic-profile/view/1895884","19-1895884")</f>
        <v>0</v>
      </c>
      <c r="B286" t="s">
        <v>10</v>
      </c>
      <c r="C286" t="s">
        <v>30</v>
      </c>
      <c r="D286" t="s">
        <v>307</v>
      </c>
      <c r="H286" t="s">
        <v>1863</v>
      </c>
      <c r="J286" t="s">
        <v>1866</v>
      </c>
    </row>
    <row r="287" spans="1:10">
      <c r="A287" s="1">
        <f>HYPERLINK("https://cms.ls-nyc.org/matter/dynamic-profile/view/1895887","19-1895887")</f>
        <v>0</v>
      </c>
      <c r="B287" t="s">
        <v>11</v>
      </c>
      <c r="C287" t="s">
        <v>41</v>
      </c>
      <c r="D287" t="s">
        <v>308</v>
      </c>
      <c r="E287" t="s">
        <v>1815</v>
      </c>
      <c r="F287" t="s">
        <v>1856</v>
      </c>
      <c r="H287" t="s">
        <v>1863</v>
      </c>
      <c r="I287" t="s">
        <v>1865</v>
      </c>
      <c r="J287" t="s">
        <v>1866</v>
      </c>
    </row>
    <row r="288" spans="1:10">
      <c r="A288" s="1">
        <f>HYPERLINK("https://cms.ls-nyc.org/matter/dynamic-profile/view/1895896","19-1895896")</f>
        <v>0</v>
      </c>
      <c r="B288" t="s">
        <v>10</v>
      </c>
      <c r="C288" t="s">
        <v>16</v>
      </c>
      <c r="D288" t="s">
        <v>309</v>
      </c>
      <c r="E288" t="s">
        <v>1805</v>
      </c>
      <c r="F288" t="s">
        <v>1853</v>
      </c>
      <c r="G288" t="s">
        <v>1861</v>
      </c>
      <c r="J288" t="s">
        <v>1869</v>
      </c>
    </row>
    <row r="289" spans="1:10">
      <c r="A289" s="1">
        <f>HYPERLINK("https://cms.ls-nyc.org/matter/dynamic-profile/view/1895905","19-1895905")</f>
        <v>0</v>
      </c>
      <c r="B289" t="s">
        <v>14</v>
      </c>
      <c r="C289" t="s">
        <v>25</v>
      </c>
      <c r="D289" t="s">
        <v>310</v>
      </c>
      <c r="E289" t="s">
        <v>1803</v>
      </c>
      <c r="F289" t="s">
        <v>1858</v>
      </c>
      <c r="H289" t="s">
        <v>1863</v>
      </c>
      <c r="J289" t="s">
        <v>1868</v>
      </c>
    </row>
    <row r="290" spans="1:10">
      <c r="A290" s="1">
        <f>HYPERLINK("https://cms.ls-nyc.org/matter/dynamic-profile/view/1895911","19-1895911")</f>
        <v>0</v>
      </c>
      <c r="B290" t="s">
        <v>10</v>
      </c>
      <c r="C290" t="s">
        <v>16</v>
      </c>
      <c r="D290" t="s">
        <v>311</v>
      </c>
      <c r="E290" t="s">
        <v>1806</v>
      </c>
      <c r="F290" t="s">
        <v>1853</v>
      </c>
      <c r="H290" t="s">
        <v>1863</v>
      </c>
      <c r="J290" t="s">
        <v>1869</v>
      </c>
    </row>
    <row r="291" spans="1:10">
      <c r="A291" s="1">
        <f>HYPERLINK("https://cms.ls-nyc.org/matter/dynamic-profile/view/1895914","19-1895914")</f>
        <v>0</v>
      </c>
      <c r="B291" t="s">
        <v>10</v>
      </c>
      <c r="C291" t="s">
        <v>16</v>
      </c>
      <c r="D291" t="s">
        <v>312</v>
      </c>
      <c r="E291" t="s">
        <v>1806</v>
      </c>
      <c r="F291" t="s">
        <v>1853</v>
      </c>
      <c r="H291" t="s">
        <v>1863</v>
      </c>
      <c r="J291" t="s">
        <v>1869</v>
      </c>
    </row>
    <row r="292" spans="1:10">
      <c r="A292" s="1">
        <f>HYPERLINK("https://cms.ls-nyc.org/matter/dynamic-profile/view/1895919","19-1895919")</f>
        <v>0</v>
      </c>
      <c r="B292" t="s">
        <v>10</v>
      </c>
      <c r="C292" t="s">
        <v>16</v>
      </c>
      <c r="D292" t="s">
        <v>313</v>
      </c>
      <c r="E292" t="s">
        <v>1806</v>
      </c>
      <c r="F292" t="s">
        <v>1853</v>
      </c>
      <c r="H292" t="s">
        <v>1863</v>
      </c>
      <c r="J292" t="s">
        <v>1869</v>
      </c>
    </row>
    <row r="293" spans="1:10">
      <c r="A293" s="1">
        <f>HYPERLINK("https://cms.ls-nyc.org/matter/dynamic-profile/view/1895727","19-1895727")</f>
        <v>0</v>
      </c>
      <c r="B293" t="s">
        <v>10</v>
      </c>
      <c r="C293" t="s">
        <v>16</v>
      </c>
      <c r="D293" t="s">
        <v>314</v>
      </c>
      <c r="F293" t="s">
        <v>1856</v>
      </c>
      <c r="G293" t="s">
        <v>1861</v>
      </c>
      <c r="J293" t="s">
        <v>1866</v>
      </c>
    </row>
    <row r="294" spans="1:10">
      <c r="A294" s="1">
        <f>HYPERLINK("https://cms.ls-nyc.org/matter/dynamic-profile/view/1895743","19-1895743")</f>
        <v>0</v>
      </c>
      <c r="B294" t="s">
        <v>10</v>
      </c>
      <c r="C294" t="s">
        <v>30</v>
      </c>
      <c r="D294" t="s">
        <v>315</v>
      </c>
      <c r="F294" t="s">
        <v>1856</v>
      </c>
      <c r="H294" t="s">
        <v>1863</v>
      </c>
      <c r="J294" t="s">
        <v>1866</v>
      </c>
    </row>
    <row r="295" spans="1:10">
      <c r="A295" s="1">
        <f>HYPERLINK("https://cms.ls-nyc.org/matter/dynamic-profile/view/1895787","19-1895787")</f>
        <v>0</v>
      </c>
      <c r="B295" t="s">
        <v>13</v>
      </c>
      <c r="C295" t="s">
        <v>24</v>
      </c>
      <c r="D295" t="s">
        <v>316</v>
      </c>
      <c r="E295" t="s">
        <v>1805</v>
      </c>
      <c r="F295" t="s">
        <v>1853</v>
      </c>
      <c r="H295" t="s">
        <v>1863</v>
      </c>
      <c r="J295" t="s">
        <v>1869</v>
      </c>
    </row>
    <row r="296" spans="1:10">
      <c r="A296" s="1">
        <f>HYPERLINK("https://cms.ls-nyc.org/matter/dynamic-profile/view/1895807","19-1895807")</f>
        <v>0</v>
      </c>
      <c r="B296" t="s">
        <v>10</v>
      </c>
      <c r="C296" t="s">
        <v>17</v>
      </c>
      <c r="D296" t="s">
        <v>317</v>
      </c>
      <c r="E296" t="s">
        <v>1815</v>
      </c>
      <c r="F296" t="s">
        <v>1853</v>
      </c>
      <c r="H296" t="s">
        <v>1863</v>
      </c>
      <c r="J296" t="s">
        <v>1867</v>
      </c>
    </row>
    <row r="297" spans="1:10">
      <c r="A297" s="1">
        <f>HYPERLINK("https://cms.ls-nyc.org/matter/dynamic-profile/view/1895812","19-1895812")</f>
        <v>0</v>
      </c>
      <c r="B297" t="s">
        <v>15</v>
      </c>
      <c r="C297" t="s">
        <v>27</v>
      </c>
      <c r="D297" t="s">
        <v>274</v>
      </c>
      <c r="E297" t="s">
        <v>1810</v>
      </c>
      <c r="G297" t="s">
        <v>1861</v>
      </c>
      <c r="J297" t="s">
        <v>1869</v>
      </c>
    </row>
    <row r="298" spans="1:10">
      <c r="A298" s="1">
        <f>HYPERLINK("https://cms.ls-nyc.org/matter/dynamic-profile/view/1895509","19-1895509")</f>
        <v>0</v>
      </c>
      <c r="B298" t="s">
        <v>12</v>
      </c>
      <c r="C298" t="s">
        <v>20</v>
      </c>
      <c r="D298" t="s">
        <v>318</v>
      </c>
      <c r="E298" t="s">
        <v>1803</v>
      </c>
      <c r="H298" t="s">
        <v>1863</v>
      </c>
      <c r="J298" t="s">
        <v>1871</v>
      </c>
    </row>
    <row r="299" spans="1:10">
      <c r="A299" s="1">
        <f>HYPERLINK("https://cms.ls-nyc.org/matter/dynamic-profile/view/1895587","19-1895587")</f>
        <v>0</v>
      </c>
      <c r="B299" t="s">
        <v>10</v>
      </c>
      <c r="C299" t="s">
        <v>16</v>
      </c>
      <c r="D299" t="s">
        <v>232</v>
      </c>
      <c r="E299" t="s">
        <v>1809</v>
      </c>
      <c r="F299" t="s">
        <v>1855</v>
      </c>
      <c r="H299" t="s">
        <v>1863</v>
      </c>
      <c r="J299" t="s">
        <v>1870</v>
      </c>
    </row>
    <row r="300" spans="1:10">
      <c r="A300" s="1">
        <f>HYPERLINK("https://cms.ls-nyc.org/matter/dynamic-profile/view/1895617","19-1895617")</f>
        <v>0</v>
      </c>
      <c r="B300" t="s">
        <v>10</v>
      </c>
      <c r="C300" t="s">
        <v>16</v>
      </c>
      <c r="D300" t="s">
        <v>319</v>
      </c>
      <c r="F300" t="s">
        <v>1856</v>
      </c>
      <c r="G300" t="s">
        <v>1861</v>
      </c>
      <c r="J300" t="s">
        <v>1866</v>
      </c>
    </row>
    <row r="301" spans="1:10">
      <c r="A301" s="1">
        <f>HYPERLINK("https://cms.ls-nyc.org/matter/dynamic-profile/view/1895621","19-1895621")</f>
        <v>0</v>
      </c>
      <c r="B301" t="s">
        <v>14</v>
      </c>
      <c r="C301" t="s">
        <v>31</v>
      </c>
      <c r="D301" t="s">
        <v>320</v>
      </c>
      <c r="E301" t="s">
        <v>1823</v>
      </c>
      <c r="F301" t="s">
        <v>1853</v>
      </c>
      <c r="H301" t="s">
        <v>1863</v>
      </c>
      <c r="J301" t="s">
        <v>1867</v>
      </c>
    </row>
    <row r="302" spans="1:10">
      <c r="A302" s="1">
        <f>HYPERLINK("https://cms.ls-nyc.org/matter/dynamic-profile/view/1895655","19-1895655")</f>
        <v>0</v>
      </c>
      <c r="B302" t="s">
        <v>10</v>
      </c>
      <c r="C302" t="s">
        <v>16</v>
      </c>
      <c r="D302" t="s">
        <v>233</v>
      </c>
      <c r="E302" t="s">
        <v>1809</v>
      </c>
      <c r="F302" t="s">
        <v>1855</v>
      </c>
      <c r="H302" t="s">
        <v>1863</v>
      </c>
      <c r="J302" t="s">
        <v>1870</v>
      </c>
    </row>
    <row r="303" spans="1:10">
      <c r="A303" s="1">
        <f>HYPERLINK("https://cms.ls-nyc.org/matter/dynamic-profile/view/1895656","19-1895656")</f>
        <v>0</v>
      </c>
      <c r="B303" t="s">
        <v>14</v>
      </c>
      <c r="C303" t="s">
        <v>31</v>
      </c>
      <c r="D303" t="s">
        <v>230</v>
      </c>
      <c r="E303" t="s">
        <v>1821</v>
      </c>
      <c r="F303" t="s">
        <v>1853</v>
      </c>
      <c r="H303" t="s">
        <v>1863</v>
      </c>
      <c r="I303" t="s">
        <v>1865</v>
      </c>
      <c r="J303" t="s">
        <v>1866</v>
      </c>
    </row>
    <row r="304" spans="1:10">
      <c r="A304" s="1">
        <f>HYPERLINK("https://cms.ls-nyc.org/matter/dynamic-profile/view/1895659","19-1895659")</f>
        <v>0</v>
      </c>
      <c r="B304" t="s">
        <v>15</v>
      </c>
      <c r="C304" t="s">
        <v>27</v>
      </c>
      <c r="D304" t="s">
        <v>321</v>
      </c>
      <c r="E304" t="s">
        <v>1807</v>
      </c>
      <c r="G304" t="s">
        <v>1861</v>
      </c>
      <c r="J304" t="s">
        <v>1869</v>
      </c>
    </row>
    <row r="305" spans="1:10">
      <c r="A305" s="1">
        <f>HYPERLINK("https://cms.ls-nyc.org/matter/dynamic-profile/view/1895662","19-1895662")</f>
        <v>0</v>
      </c>
      <c r="B305" t="s">
        <v>15</v>
      </c>
      <c r="C305" t="s">
        <v>27</v>
      </c>
      <c r="D305" t="s">
        <v>322</v>
      </c>
      <c r="E305" t="s">
        <v>1807</v>
      </c>
      <c r="G305" t="s">
        <v>1861</v>
      </c>
      <c r="J305" t="s">
        <v>1869</v>
      </c>
    </row>
    <row r="306" spans="1:10">
      <c r="A306" s="1">
        <f>HYPERLINK("https://cms.ls-nyc.org/matter/dynamic-profile/view/1895706","19-1895706")</f>
        <v>0</v>
      </c>
      <c r="B306" t="s">
        <v>10</v>
      </c>
      <c r="C306" t="s">
        <v>16</v>
      </c>
      <c r="D306" t="s">
        <v>323</v>
      </c>
      <c r="F306" t="s">
        <v>1856</v>
      </c>
      <c r="G306" t="s">
        <v>1861</v>
      </c>
      <c r="J306" t="s">
        <v>1866</v>
      </c>
    </row>
    <row r="307" spans="1:10">
      <c r="A307" s="1">
        <f>HYPERLINK("https://cms.ls-nyc.org/matter/dynamic-profile/view/1895711","19-1895711")</f>
        <v>0</v>
      </c>
      <c r="B307" t="s">
        <v>12</v>
      </c>
      <c r="C307" t="s">
        <v>40</v>
      </c>
      <c r="D307" t="s">
        <v>324</v>
      </c>
      <c r="E307" t="s">
        <v>1815</v>
      </c>
      <c r="F307" t="s">
        <v>1853</v>
      </c>
      <c r="G307" t="s">
        <v>1861</v>
      </c>
      <c r="J307" t="s">
        <v>1867</v>
      </c>
    </row>
    <row r="308" spans="1:10">
      <c r="A308" s="1">
        <f>HYPERLINK("https://cms.ls-nyc.org/matter/dynamic-profile/view/1895546","19-1895546")</f>
        <v>0</v>
      </c>
      <c r="B308" t="s">
        <v>15</v>
      </c>
      <c r="C308" t="s">
        <v>34</v>
      </c>
      <c r="D308" t="s">
        <v>325</v>
      </c>
      <c r="E308" t="s">
        <v>1809</v>
      </c>
      <c r="H308" t="s">
        <v>1863</v>
      </c>
      <c r="J308" t="s">
        <v>1868</v>
      </c>
    </row>
    <row r="309" spans="1:10">
      <c r="A309" s="1">
        <f>HYPERLINK("https://cms.ls-nyc.org/matter/dynamic-profile/view/1890655","19-1890655")</f>
        <v>0</v>
      </c>
      <c r="B309" t="s">
        <v>15</v>
      </c>
      <c r="C309" t="s">
        <v>46</v>
      </c>
      <c r="D309" t="s">
        <v>326</v>
      </c>
      <c r="E309" t="s">
        <v>1826</v>
      </c>
      <c r="F309" t="s">
        <v>1853</v>
      </c>
      <c r="H309" t="s">
        <v>1863</v>
      </c>
      <c r="J309" t="s">
        <v>1867</v>
      </c>
    </row>
    <row r="310" spans="1:10">
      <c r="A310" s="1">
        <f>HYPERLINK("https://cms.ls-nyc.org/matter/dynamic-profile/view/1895426","19-1895426")</f>
        <v>0</v>
      </c>
      <c r="B310" t="s">
        <v>14</v>
      </c>
      <c r="C310" t="s">
        <v>26</v>
      </c>
      <c r="D310" t="s">
        <v>202</v>
      </c>
      <c r="E310" t="s">
        <v>1809</v>
      </c>
      <c r="H310" t="s">
        <v>1863</v>
      </c>
      <c r="J310" t="s">
        <v>1870</v>
      </c>
    </row>
    <row r="311" spans="1:10">
      <c r="A311" s="1">
        <f>HYPERLINK("https://cms.ls-nyc.org/matter/dynamic-profile/view/1895454","19-1895454")</f>
        <v>0</v>
      </c>
      <c r="B311" t="s">
        <v>10</v>
      </c>
      <c r="C311" t="s">
        <v>16</v>
      </c>
      <c r="D311" t="s">
        <v>327</v>
      </c>
      <c r="E311" t="s">
        <v>1807</v>
      </c>
      <c r="F311" t="s">
        <v>1853</v>
      </c>
      <c r="H311" t="s">
        <v>1863</v>
      </c>
      <c r="J311" t="s">
        <v>1869</v>
      </c>
    </row>
    <row r="312" spans="1:10">
      <c r="A312" s="1">
        <f>HYPERLINK("https://cms.ls-nyc.org/matter/dynamic-profile/view/1895478","19-1895478")</f>
        <v>0</v>
      </c>
      <c r="B312" t="s">
        <v>15</v>
      </c>
      <c r="C312" t="s">
        <v>47</v>
      </c>
      <c r="D312" t="s">
        <v>328</v>
      </c>
      <c r="E312" t="s">
        <v>1807</v>
      </c>
      <c r="G312" t="s">
        <v>1861</v>
      </c>
      <c r="J312" t="s">
        <v>1869</v>
      </c>
    </row>
    <row r="313" spans="1:10">
      <c r="A313" s="1">
        <f>HYPERLINK("https://cms.ls-nyc.org/matter/dynamic-profile/view/1895544","19-1895544")</f>
        <v>0</v>
      </c>
      <c r="B313" t="s">
        <v>14</v>
      </c>
      <c r="C313" t="s">
        <v>31</v>
      </c>
      <c r="D313" t="s">
        <v>223</v>
      </c>
      <c r="E313" t="s">
        <v>1809</v>
      </c>
      <c r="F313" t="s">
        <v>1855</v>
      </c>
      <c r="H313" t="s">
        <v>1863</v>
      </c>
      <c r="J313" t="s">
        <v>1870</v>
      </c>
    </row>
    <row r="314" spans="1:10">
      <c r="A314" s="1">
        <f>HYPERLINK("https://cms.ls-nyc.org/matter/dynamic-profile/view/1894167","19-1894167")</f>
        <v>0</v>
      </c>
      <c r="B314" t="s">
        <v>13</v>
      </c>
      <c r="C314" t="s">
        <v>22</v>
      </c>
      <c r="D314" t="s">
        <v>329</v>
      </c>
      <c r="E314" t="s">
        <v>1803</v>
      </c>
      <c r="F314" t="s">
        <v>1855</v>
      </c>
      <c r="G314" t="s">
        <v>1861</v>
      </c>
      <c r="J314" t="s">
        <v>1871</v>
      </c>
    </row>
    <row r="315" spans="1:10">
      <c r="A315" s="1">
        <f>HYPERLINK("https://cms.ls-nyc.org/matter/dynamic-profile/view/1895207","19-1895207")</f>
        <v>0</v>
      </c>
      <c r="B315" t="s">
        <v>10</v>
      </c>
      <c r="C315" t="s">
        <v>17</v>
      </c>
      <c r="D315" t="s">
        <v>330</v>
      </c>
      <c r="E315" t="s">
        <v>1810</v>
      </c>
      <c r="F315" t="s">
        <v>1853</v>
      </c>
      <c r="H315" t="s">
        <v>1863</v>
      </c>
      <c r="J315" t="s">
        <v>1869</v>
      </c>
    </row>
    <row r="316" spans="1:10">
      <c r="A316" s="1">
        <f>HYPERLINK("https://cms.ls-nyc.org/matter/dynamic-profile/view/1895269","19-1895269")</f>
        <v>0</v>
      </c>
      <c r="B316" t="s">
        <v>15</v>
      </c>
      <c r="C316" t="s">
        <v>47</v>
      </c>
      <c r="D316" t="s">
        <v>331</v>
      </c>
      <c r="E316" t="s">
        <v>1808</v>
      </c>
      <c r="G316" t="s">
        <v>1861</v>
      </c>
      <c r="J316" t="s">
        <v>1867</v>
      </c>
    </row>
    <row r="317" spans="1:10">
      <c r="A317" s="1">
        <f>HYPERLINK("https://cms.ls-nyc.org/matter/dynamic-profile/view/1895281","19-1895281")</f>
        <v>0</v>
      </c>
      <c r="B317" t="s">
        <v>15</v>
      </c>
      <c r="C317" t="s">
        <v>47</v>
      </c>
      <c r="D317" t="s">
        <v>332</v>
      </c>
      <c r="E317" t="s">
        <v>1804</v>
      </c>
      <c r="G317" t="s">
        <v>1861</v>
      </c>
      <c r="J317" t="s">
        <v>1867</v>
      </c>
    </row>
    <row r="318" spans="1:10">
      <c r="A318" s="1">
        <f>HYPERLINK("https://cms.ls-nyc.org/matter/dynamic-profile/view/1895302","19-1895302")</f>
        <v>0</v>
      </c>
      <c r="B318" t="s">
        <v>10</v>
      </c>
      <c r="C318" t="s">
        <v>16</v>
      </c>
      <c r="D318" t="s">
        <v>333</v>
      </c>
      <c r="F318" t="s">
        <v>1853</v>
      </c>
      <c r="G318" t="s">
        <v>1861</v>
      </c>
      <c r="J318" t="s">
        <v>1866</v>
      </c>
    </row>
    <row r="319" spans="1:10">
      <c r="A319" s="1">
        <f>HYPERLINK("https://cms.ls-nyc.org/matter/dynamic-profile/view/1895310","19-1895310")</f>
        <v>0</v>
      </c>
      <c r="B319" t="s">
        <v>10</v>
      </c>
      <c r="C319" t="s">
        <v>16</v>
      </c>
      <c r="D319" t="s">
        <v>334</v>
      </c>
      <c r="F319" t="s">
        <v>1853</v>
      </c>
      <c r="H319" t="s">
        <v>1863</v>
      </c>
      <c r="J319" t="s">
        <v>1866</v>
      </c>
    </row>
    <row r="320" spans="1:10">
      <c r="A320" s="1">
        <f>HYPERLINK("https://cms.ls-nyc.org/matter/dynamic-profile/view/1895345","19-1895345")</f>
        <v>0</v>
      </c>
      <c r="B320" t="s">
        <v>14</v>
      </c>
      <c r="C320" t="s">
        <v>31</v>
      </c>
      <c r="D320" t="s">
        <v>335</v>
      </c>
      <c r="E320" t="s">
        <v>1807</v>
      </c>
      <c r="G320" t="s">
        <v>1861</v>
      </c>
      <c r="J320" t="s">
        <v>1869</v>
      </c>
    </row>
    <row r="321" spans="1:10">
      <c r="A321" s="1">
        <f>HYPERLINK("https://cms.ls-nyc.org/matter/dynamic-profile/view/1895360","19-1895360")</f>
        <v>0</v>
      </c>
      <c r="B321" t="s">
        <v>10</v>
      </c>
      <c r="C321" t="s">
        <v>48</v>
      </c>
      <c r="D321" t="s">
        <v>336</v>
      </c>
      <c r="F321" t="s">
        <v>1856</v>
      </c>
      <c r="G321" t="s">
        <v>1861</v>
      </c>
      <c r="J321" t="s">
        <v>1866</v>
      </c>
    </row>
    <row r="322" spans="1:10">
      <c r="A322" s="1">
        <f>HYPERLINK("https://cms.ls-nyc.org/matter/dynamic-profile/view/1895362","19-1895362")</f>
        <v>0</v>
      </c>
      <c r="B322" t="s">
        <v>15</v>
      </c>
      <c r="C322" t="s">
        <v>47</v>
      </c>
      <c r="D322" t="s">
        <v>337</v>
      </c>
      <c r="E322" t="s">
        <v>1803</v>
      </c>
      <c r="G322" t="s">
        <v>1861</v>
      </c>
      <c r="J322" t="s">
        <v>1870</v>
      </c>
    </row>
    <row r="323" spans="1:10">
      <c r="A323" s="1">
        <f>HYPERLINK("https://cms.ls-nyc.org/matter/dynamic-profile/view/1895364","19-1895364")</f>
        <v>0</v>
      </c>
      <c r="B323" t="s">
        <v>15</v>
      </c>
      <c r="C323" t="s">
        <v>47</v>
      </c>
      <c r="D323" t="s">
        <v>337</v>
      </c>
      <c r="E323" t="s">
        <v>1804</v>
      </c>
      <c r="G323" t="s">
        <v>1861</v>
      </c>
      <c r="J323" t="s">
        <v>1867</v>
      </c>
    </row>
    <row r="324" spans="1:10">
      <c r="A324" s="1">
        <f>HYPERLINK("https://cms.ls-nyc.org/matter/dynamic-profile/view/1895366","19-1895366")</f>
        <v>0</v>
      </c>
      <c r="B324" t="s">
        <v>10</v>
      </c>
      <c r="C324" t="s">
        <v>48</v>
      </c>
      <c r="D324" t="s">
        <v>338</v>
      </c>
      <c r="F324" t="s">
        <v>1856</v>
      </c>
      <c r="G324" t="s">
        <v>1861</v>
      </c>
      <c r="J324" t="s">
        <v>1866</v>
      </c>
    </row>
    <row r="325" spans="1:10">
      <c r="A325" s="1">
        <f>HYPERLINK("https://cms.ls-nyc.org/matter/dynamic-profile/view/1895373","19-1895373")</f>
        <v>0</v>
      </c>
      <c r="B325" t="s">
        <v>15</v>
      </c>
      <c r="C325" t="s">
        <v>47</v>
      </c>
      <c r="D325" t="s">
        <v>339</v>
      </c>
      <c r="E325" t="s">
        <v>1808</v>
      </c>
      <c r="G325" t="s">
        <v>1861</v>
      </c>
      <c r="J325" t="s">
        <v>1867</v>
      </c>
    </row>
    <row r="326" spans="1:10">
      <c r="A326" s="1">
        <f>HYPERLINK("https://cms.ls-nyc.org/matter/dynamic-profile/view/1895378","19-1895378")</f>
        <v>0</v>
      </c>
      <c r="B326" t="s">
        <v>15</v>
      </c>
      <c r="C326" t="s">
        <v>47</v>
      </c>
      <c r="D326" t="s">
        <v>340</v>
      </c>
      <c r="E326" t="s">
        <v>1804</v>
      </c>
      <c r="G326" t="s">
        <v>1861</v>
      </c>
      <c r="J326" t="s">
        <v>1867</v>
      </c>
    </row>
    <row r="327" spans="1:10">
      <c r="A327" s="1">
        <f>HYPERLINK("https://cms.ls-nyc.org/matter/dynamic-profile/view/1895381","19-1895381")</f>
        <v>0</v>
      </c>
      <c r="B327" t="s">
        <v>15</v>
      </c>
      <c r="C327" t="s">
        <v>47</v>
      </c>
      <c r="D327" t="s">
        <v>341</v>
      </c>
      <c r="E327" t="s">
        <v>1804</v>
      </c>
      <c r="G327" t="s">
        <v>1861</v>
      </c>
      <c r="J327" t="s">
        <v>1867</v>
      </c>
    </row>
    <row r="328" spans="1:10">
      <c r="A328" s="1">
        <f>HYPERLINK("https://cms.ls-nyc.org/matter/dynamic-profile/view/1895389","19-1895389")</f>
        <v>0</v>
      </c>
      <c r="B328" t="s">
        <v>15</v>
      </c>
      <c r="C328" t="s">
        <v>47</v>
      </c>
      <c r="D328" t="s">
        <v>342</v>
      </c>
      <c r="E328" t="s">
        <v>1827</v>
      </c>
      <c r="G328" t="s">
        <v>1861</v>
      </c>
      <c r="J328" t="s">
        <v>1869</v>
      </c>
    </row>
    <row r="329" spans="1:10">
      <c r="A329" s="1">
        <f>HYPERLINK("https://cms.ls-nyc.org/matter/dynamic-profile/view/1895398","19-1895398")</f>
        <v>0</v>
      </c>
      <c r="B329" t="s">
        <v>15</v>
      </c>
      <c r="C329" t="s">
        <v>47</v>
      </c>
      <c r="D329" t="s">
        <v>343</v>
      </c>
      <c r="E329" t="s">
        <v>1828</v>
      </c>
      <c r="G329" t="s">
        <v>1861</v>
      </c>
      <c r="J329" t="s">
        <v>1869</v>
      </c>
    </row>
    <row r="330" spans="1:10">
      <c r="A330" s="1">
        <f>HYPERLINK("https://cms.ls-nyc.org/matter/dynamic-profile/view/1895399","19-1895399")</f>
        <v>0</v>
      </c>
      <c r="B330" t="s">
        <v>15</v>
      </c>
      <c r="C330" t="s">
        <v>47</v>
      </c>
      <c r="D330" t="s">
        <v>344</v>
      </c>
      <c r="E330" t="s">
        <v>1828</v>
      </c>
      <c r="G330" t="s">
        <v>1861</v>
      </c>
      <c r="J330" t="s">
        <v>1869</v>
      </c>
    </row>
    <row r="331" spans="1:10">
      <c r="A331" s="1">
        <f>HYPERLINK("https://cms.ls-nyc.org/matter/dynamic-profile/view/1895400","19-1895400")</f>
        <v>0</v>
      </c>
      <c r="B331" t="s">
        <v>15</v>
      </c>
      <c r="C331" t="s">
        <v>47</v>
      </c>
      <c r="D331" t="s">
        <v>343</v>
      </c>
      <c r="E331" t="s">
        <v>1804</v>
      </c>
      <c r="G331" t="s">
        <v>1861</v>
      </c>
      <c r="J331" t="s">
        <v>1867</v>
      </c>
    </row>
    <row r="332" spans="1:10">
      <c r="A332" s="1">
        <f>HYPERLINK("https://cms.ls-nyc.org/matter/dynamic-profile/view/1895402","19-1895402")</f>
        <v>0</v>
      </c>
      <c r="B332" t="s">
        <v>15</v>
      </c>
      <c r="C332" t="s">
        <v>47</v>
      </c>
      <c r="D332" t="s">
        <v>344</v>
      </c>
      <c r="E332" t="s">
        <v>1804</v>
      </c>
      <c r="G332" t="s">
        <v>1861</v>
      </c>
      <c r="J332" t="s">
        <v>1867</v>
      </c>
    </row>
    <row r="333" spans="1:10">
      <c r="A333" s="1">
        <f>HYPERLINK("https://cms.ls-nyc.org/matter/dynamic-profile/view/1895434","19-1895434")</f>
        <v>0</v>
      </c>
      <c r="B333" t="s">
        <v>13</v>
      </c>
      <c r="C333" t="s">
        <v>29</v>
      </c>
      <c r="D333" t="s">
        <v>345</v>
      </c>
      <c r="E333" t="s">
        <v>1803</v>
      </c>
      <c r="F333" t="s">
        <v>1855</v>
      </c>
      <c r="H333" t="s">
        <v>1863</v>
      </c>
      <c r="J333" t="s">
        <v>1870</v>
      </c>
    </row>
    <row r="334" spans="1:10">
      <c r="A334" s="1">
        <f>HYPERLINK("https://cms.ls-nyc.org/matter/dynamic-profile/view/1894732","19-1894732")</f>
        <v>0</v>
      </c>
      <c r="B334" t="s">
        <v>11</v>
      </c>
      <c r="C334" t="s">
        <v>36</v>
      </c>
      <c r="D334" t="s">
        <v>135</v>
      </c>
      <c r="E334" t="s">
        <v>1809</v>
      </c>
      <c r="F334" t="s">
        <v>1855</v>
      </c>
      <c r="H334" t="s">
        <v>1863</v>
      </c>
      <c r="J334" t="s">
        <v>1870</v>
      </c>
    </row>
    <row r="335" spans="1:10">
      <c r="A335" s="1">
        <f>HYPERLINK("https://cms.ls-nyc.org/matter/dynamic-profile/view/1895195","19-1895195")</f>
        <v>0</v>
      </c>
      <c r="B335" t="s">
        <v>14</v>
      </c>
      <c r="C335" t="s">
        <v>28</v>
      </c>
      <c r="D335" t="s">
        <v>346</v>
      </c>
      <c r="E335" t="s">
        <v>1799</v>
      </c>
      <c r="F335" t="s">
        <v>1853</v>
      </c>
      <c r="G335" t="s">
        <v>1861</v>
      </c>
      <c r="J335" t="s">
        <v>1867</v>
      </c>
    </row>
    <row r="336" spans="1:10">
      <c r="A336" s="1">
        <f>HYPERLINK("https://cms.ls-nyc.org/matter/dynamic-profile/view/1895217","19-1895217")</f>
        <v>0</v>
      </c>
      <c r="B336" t="s">
        <v>14</v>
      </c>
      <c r="C336" t="s">
        <v>42</v>
      </c>
      <c r="D336" t="s">
        <v>192</v>
      </c>
      <c r="E336" t="s">
        <v>1809</v>
      </c>
      <c r="H336" t="s">
        <v>1863</v>
      </c>
      <c r="J336" t="s">
        <v>1870</v>
      </c>
    </row>
    <row r="337" spans="1:10">
      <c r="A337" s="1">
        <f>HYPERLINK("https://cms.ls-nyc.org/matter/dynamic-profile/view/1893054","19-1893054")</f>
        <v>0</v>
      </c>
      <c r="B337" t="s">
        <v>10</v>
      </c>
      <c r="C337" t="s">
        <v>16</v>
      </c>
      <c r="D337" t="s">
        <v>347</v>
      </c>
      <c r="F337" t="s">
        <v>1853</v>
      </c>
      <c r="G337" t="s">
        <v>1861</v>
      </c>
      <c r="J337" t="s">
        <v>1866</v>
      </c>
    </row>
    <row r="338" spans="1:10">
      <c r="A338" s="1">
        <f>HYPERLINK("https://cms.ls-nyc.org/matter/dynamic-profile/view/1894459","19-1894459")</f>
        <v>0</v>
      </c>
      <c r="B338" t="s">
        <v>13</v>
      </c>
      <c r="C338" t="s">
        <v>22</v>
      </c>
      <c r="D338" t="s">
        <v>348</v>
      </c>
      <c r="E338" t="s">
        <v>1819</v>
      </c>
      <c r="F338" t="s">
        <v>1853</v>
      </c>
      <c r="G338" t="s">
        <v>1861</v>
      </c>
      <c r="J338" t="s">
        <v>1867</v>
      </c>
    </row>
    <row r="339" spans="1:10">
      <c r="A339" s="1">
        <f>HYPERLINK("https://cms.ls-nyc.org/matter/dynamic-profile/view/1895059","19-1895059")</f>
        <v>0</v>
      </c>
      <c r="B339" t="s">
        <v>12</v>
      </c>
      <c r="C339" t="s">
        <v>49</v>
      </c>
      <c r="D339" t="s">
        <v>349</v>
      </c>
      <c r="E339" t="s">
        <v>1829</v>
      </c>
      <c r="F339" t="s">
        <v>1853</v>
      </c>
      <c r="H339" t="s">
        <v>1863</v>
      </c>
      <c r="J339" t="s">
        <v>1867</v>
      </c>
    </row>
    <row r="340" spans="1:10">
      <c r="A340" s="1">
        <f>HYPERLINK("https://cms.ls-nyc.org/matter/dynamic-profile/view/1895070","19-1895070")</f>
        <v>0</v>
      </c>
      <c r="B340" t="s">
        <v>12</v>
      </c>
      <c r="C340" t="s">
        <v>20</v>
      </c>
      <c r="D340" t="s">
        <v>350</v>
      </c>
      <c r="E340" t="s">
        <v>1809</v>
      </c>
      <c r="F340" t="s">
        <v>1855</v>
      </c>
      <c r="H340" t="s">
        <v>1863</v>
      </c>
      <c r="J340" t="s">
        <v>1871</v>
      </c>
    </row>
    <row r="341" spans="1:10">
      <c r="A341" s="1">
        <f>HYPERLINK("https://cms.ls-nyc.org/matter/dynamic-profile/view/1895072","19-1895072")</f>
        <v>0</v>
      </c>
      <c r="B341" t="s">
        <v>12</v>
      </c>
      <c r="C341" t="s">
        <v>20</v>
      </c>
      <c r="D341" t="s">
        <v>350</v>
      </c>
      <c r="E341" t="s">
        <v>1802</v>
      </c>
      <c r="F341" t="s">
        <v>1855</v>
      </c>
      <c r="H341" t="s">
        <v>1863</v>
      </c>
      <c r="J341" t="s">
        <v>1869</v>
      </c>
    </row>
    <row r="342" spans="1:10">
      <c r="A342" s="1">
        <f>HYPERLINK("https://cms.ls-nyc.org/matter/dynamic-profile/view/1895102","19-1895102")</f>
        <v>0</v>
      </c>
      <c r="B342" t="s">
        <v>14</v>
      </c>
      <c r="C342" t="s">
        <v>26</v>
      </c>
      <c r="D342" t="s">
        <v>203</v>
      </c>
      <c r="E342" t="s">
        <v>1809</v>
      </c>
      <c r="G342" t="s">
        <v>1861</v>
      </c>
      <c r="H342" t="s">
        <v>1863</v>
      </c>
      <c r="J342" t="s">
        <v>1871</v>
      </c>
    </row>
    <row r="343" spans="1:10">
      <c r="A343" s="1">
        <f>HYPERLINK("https://cms.ls-nyc.org/matter/dynamic-profile/view/1895105","19-1895105")</f>
        <v>0</v>
      </c>
      <c r="B343" t="s">
        <v>10</v>
      </c>
      <c r="C343" t="s">
        <v>30</v>
      </c>
      <c r="D343" t="s">
        <v>351</v>
      </c>
      <c r="E343" t="s">
        <v>1815</v>
      </c>
      <c r="F343" t="s">
        <v>1856</v>
      </c>
      <c r="H343" t="s">
        <v>1863</v>
      </c>
      <c r="J343" t="s">
        <v>1866</v>
      </c>
    </row>
    <row r="344" spans="1:10">
      <c r="A344" s="1">
        <f>HYPERLINK("https://cms.ls-nyc.org/matter/dynamic-profile/view/1895113","19-1895113")</f>
        <v>0</v>
      </c>
      <c r="B344" t="s">
        <v>10</v>
      </c>
      <c r="C344" t="s">
        <v>17</v>
      </c>
      <c r="D344" t="s">
        <v>352</v>
      </c>
      <c r="E344" t="s">
        <v>1810</v>
      </c>
      <c r="F344" t="s">
        <v>1853</v>
      </c>
      <c r="H344" t="s">
        <v>1863</v>
      </c>
      <c r="J344" t="s">
        <v>1869</v>
      </c>
    </row>
    <row r="345" spans="1:10">
      <c r="A345" s="1">
        <f>HYPERLINK("https://cms.ls-nyc.org/matter/dynamic-profile/view/1894731","19-1894731")</f>
        <v>0</v>
      </c>
      <c r="B345" t="s">
        <v>11</v>
      </c>
      <c r="C345" t="s">
        <v>36</v>
      </c>
      <c r="D345" t="s">
        <v>141</v>
      </c>
      <c r="E345" t="s">
        <v>1803</v>
      </c>
      <c r="F345" t="s">
        <v>1859</v>
      </c>
      <c r="H345" t="s">
        <v>1863</v>
      </c>
      <c r="J345" t="s">
        <v>1868</v>
      </c>
    </row>
    <row r="346" spans="1:10">
      <c r="A346" s="1">
        <f>HYPERLINK("https://cms.ls-nyc.org/matter/dynamic-profile/view/1894897","19-1894897")</f>
        <v>0</v>
      </c>
      <c r="B346" t="s">
        <v>12</v>
      </c>
      <c r="C346" t="s">
        <v>20</v>
      </c>
      <c r="D346" t="s">
        <v>353</v>
      </c>
      <c r="E346" t="s">
        <v>1809</v>
      </c>
      <c r="F346" t="s">
        <v>1855</v>
      </c>
      <c r="H346" t="s">
        <v>1863</v>
      </c>
      <c r="J346" t="s">
        <v>1870</v>
      </c>
    </row>
    <row r="347" spans="1:10">
      <c r="A347" s="1">
        <f>HYPERLINK("https://cms.ls-nyc.org/matter/dynamic-profile/view/1894911","19-1894911")</f>
        <v>0</v>
      </c>
      <c r="B347" t="s">
        <v>14</v>
      </c>
      <c r="C347" t="s">
        <v>31</v>
      </c>
      <c r="D347" t="s">
        <v>354</v>
      </c>
      <c r="E347" t="s">
        <v>1810</v>
      </c>
      <c r="H347" t="s">
        <v>1863</v>
      </c>
      <c r="J347" t="s">
        <v>1869</v>
      </c>
    </row>
    <row r="348" spans="1:10">
      <c r="A348" s="1">
        <f>HYPERLINK("https://cms.ls-nyc.org/matter/dynamic-profile/view/1894743","19-1894743")</f>
        <v>0</v>
      </c>
      <c r="B348" t="s">
        <v>15</v>
      </c>
      <c r="C348" t="s">
        <v>34</v>
      </c>
      <c r="D348" t="s">
        <v>355</v>
      </c>
      <c r="E348" t="s">
        <v>1809</v>
      </c>
      <c r="F348" t="s">
        <v>1855</v>
      </c>
      <c r="H348" t="s">
        <v>1863</v>
      </c>
      <c r="J348" t="s">
        <v>1868</v>
      </c>
    </row>
    <row r="349" spans="1:10">
      <c r="A349" s="1">
        <f>HYPERLINK("https://cms.ls-nyc.org/matter/dynamic-profile/view/1893223","19-1893223")</f>
        <v>0</v>
      </c>
      <c r="B349" t="s">
        <v>13</v>
      </c>
      <c r="C349" t="s">
        <v>43</v>
      </c>
      <c r="D349" t="s">
        <v>356</v>
      </c>
      <c r="G349" t="s">
        <v>1861</v>
      </c>
      <c r="J349" t="s">
        <v>1866</v>
      </c>
    </row>
    <row r="350" spans="1:10">
      <c r="A350" s="1">
        <f>HYPERLINK("https://cms.ls-nyc.org/matter/dynamic-profile/view/1894749","19-1894749")</f>
        <v>0</v>
      </c>
      <c r="B350" t="s">
        <v>11</v>
      </c>
      <c r="C350" t="s">
        <v>41</v>
      </c>
      <c r="D350" t="s">
        <v>357</v>
      </c>
      <c r="E350" t="s">
        <v>1815</v>
      </c>
      <c r="F350" t="s">
        <v>1856</v>
      </c>
      <c r="H350" t="s">
        <v>1863</v>
      </c>
      <c r="J350" t="s">
        <v>1866</v>
      </c>
    </row>
    <row r="351" spans="1:10">
      <c r="A351" s="1">
        <f>HYPERLINK("https://cms.ls-nyc.org/matter/dynamic-profile/view/1894760","19-1894760")</f>
        <v>0</v>
      </c>
      <c r="B351" t="s">
        <v>11</v>
      </c>
      <c r="C351" t="s">
        <v>23</v>
      </c>
      <c r="D351" t="s">
        <v>358</v>
      </c>
      <c r="E351" t="s">
        <v>1802</v>
      </c>
      <c r="G351" t="s">
        <v>1861</v>
      </c>
      <c r="J351" t="s">
        <v>1869</v>
      </c>
    </row>
    <row r="352" spans="1:10">
      <c r="A352" s="1">
        <f>HYPERLINK("https://cms.ls-nyc.org/matter/dynamic-profile/view/1894762","19-1894762")</f>
        <v>0</v>
      </c>
      <c r="B352" t="s">
        <v>11</v>
      </c>
      <c r="C352" t="s">
        <v>23</v>
      </c>
      <c r="D352" t="s">
        <v>358</v>
      </c>
      <c r="E352" t="s">
        <v>1809</v>
      </c>
      <c r="F352" t="s">
        <v>1855</v>
      </c>
      <c r="G352" t="s">
        <v>1861</v>
      </c>
      <c r="J352" t="s">
        <v>1870</v>
      </c>
    </row>
    <row r="353" spans="1:10">
      <c r="A353" s="1">
        <f>HYPERLINK("https://cms.ls-nyc.org/matter/dynamic-profile/view/1894776","19-1894776")</f>
        <v>0</v>
      </c>
      <c r="B353" t="s">
        <v>10</v>
      </c>
      <c r="C353" t="s">
        <v>30</v>
      </c>
      <c r="D353" t="s">
        <v>359</v>
      </c>
      <c r="E353" t="s">
        <v>1815</v>
      </c>
      <c r="F353" t="s">
        <v>1856</v>
      </c>
      <c r="H353" t="s">
        <v>1863</v>
      </c>
      <c r="J353" t="s">
        <v>1866</v>
      </c>
    </row>
    <row r="354" spans="1:10">
      <c r="A354" s="1">
        <f>HYPERLINK("https://cms.ls-nyc.org/matter/dynamic-profile/view/1894783","19-1894783")</f>
        <v>0</v>
      </c>
      <c r="B354" t="s">
        <v>10</v>
      </c>
      <c r="C354" t="s">
        <v>16</v>
      </c>
      <c r="D354" t="s">
        <v>360</v>
      </c>
      <c r="E354" t="s">
        <v>1803</v>
      </c>
      <c r="F354" t="s">
        <v>1855</v>
      </c>
      <c r="H354" t="s">
        <v>1863</v>
      </c>
      <c r="J354" t="s">
        <v>1870</v>
      </c>
    </row>
    <row r="355" spans="1:10">
      <c r="A355" s="1">
        <f>HYPERLINK("https://cms.ls-nyc.org/matter/dynamic-profile/view/1894803","19-1894803")</f>
        <v>0</v>
      </c>
      <c r="B355" t="s">
        <v>12</v>
      </c>
      <c r="C355" t="s">
        <v>21</v>
      </c>
      <c r="D355" t="s">
        <v>361</v>
      </c>
      <c r="E355" t="s">
        <v>1809</v>
      </c>
      <c r="F355" t="s">
        <v>1855</v>
      </c>
      <c r="H355" t="s">
        <v>1863</v>
      </c>
      <c r="J355" t="s">
        <v>1871</v>
      </c>
    </row>
    <row r="356" spans="1:10">
      <c r="A356" s="1">
        <f>HYPERLINK("https://cms.ls-nyc.org/matter/dynamic-profile/view/1894816","19-1894816")</f>
        <v>0</v>
      </c>
      <c r="B356" t="s">
        <v>11</v>
      </c>
      <c r="C356" t="s">
        <v>36</v>
      </c>
      <c r="D356" t="s">
        <v>134</v>
      </c>
      <c r="E356" t="s">
        <v>1809</v>
      </c>
      <c r="F356" t="s">
        <v>1855</v>
      </c>
      <c r="H356" t="s">
        <v>1863</v>
      </c>
      <c r="J356" t="s">
        <v>1870</v>
      </c>
    </row>
    <row r="357" spans="1:10">
      <c r="A357" s="1">
        <f>HYPERLINK("https://cms.ls-nyc.org/matter/dynamic-profile/view/1894827","19-1894827")</f>
        <v>0</v>
      </c>
      <c r="B357" t="s">
        <v>10</v>
      </c>
      <c r="C357" t="s">
        <v>17</v>
      </c>
      <c r="D357" t="s">
        <v>362</v>
      </c>
      <c r="E357" t="s">
        <v>1815</v>
      </c>
      <c r="F357" t="s">
        <v>1853</v>
      </c>
      <c r="H357" t="s">
        <v>1863</v>
      </c>
      <c r="J357" t="s">
        <v>1867</v>
      </c>
    </row>
    <row r="358" spans="1:10">
      <c r="A358" s="1">
        <f>HYPERLINK("https://cms.ls-nyc.org/matter/dynamic-profile/view/1894856","19-1894856")</f>
        <v>0</v>
      </c>
      <c r="B358" t="s">
        <v>10</v>
      </c>
      <c r="C358" t="s">
        <v>16</v>
      </c>
      <c r="D358" t="s">
        <v>363</v>
      </c>
      <c r="F358" t="s">
        <v>1855</v>
      </c>
      <c r="G358" t="s">
        <v>1861</v>
      </c>
      <c r="J358" t="s">
        <v>1866</v>
      </c>
    </row>
    <row r="359" spans="1:10">
      <c r="A359" s="1">
        <f>HYPERLINK("https://cms.ls-nyc.org/matter/dynamic-profile/view/1894622","19-1894622")</f>
        <v>0</v>
      </c>
      <c r="B359" t="s">
        <v>10</v>
      </c>
      <c r="C359" t="s">
        <v>17</v>
      </c>
      <c r="D359" t="s">
        <v>364</v>
      </c>
      <c r="E359" t="s">
        <v>1799</v>
      </c>
      <c r="F359" t="s">
        <v>1853</v>
      </c>
      <c r="G359" t="s">
        <v>1861</v>
      </c>
      <c r="J359" t="s">
        <v>1867</v>
      </c>
    </row>
    <row r="360" spans="1:10">
      <c r="A360" s="1">
        <f>HYPERLINK("https://cms.ls-nyc.org/matter/dynamic-profile/view/1894648","19-1894648")</f>
        <v>0</v>
      </c>
      <c r="B360" t="s">
        <v>12</v>
      </c>
      <c r="C360" t="s">
        <v>20</v>
      </c>
      <c r="D360" t="s">
        <v>80</v>
      </c>
      <c r="E360" t="s">
        <v>1809</v>
      </c>
      <c r="H360" t="s">
        <v>1863</v>
      </c>
      <c r="J360" t="s">
        <v>1871</v>
      </c>
    </row>
    <row r="361" spans="1:10">
      <c r="A361" s="1">
        <f>HYPERLINK("https://cms.ls-nyc.org/matter/dynamic-profile/view/1894676","19-1894676")</f>
        <v>0</v>
      </c>
      <c r="B361" t="s">
        <v>10</v>
      </c>
      <c r="C361" t="s">
        <v>30</v>
      </c>
      <c r="D361" t="s">
        <v>365</v>
      </c>
      <c r="E361" t="s">
        <v>1815</v>
      </c>
      <c r="F361" t="s">
        <v>1856</v>
      </c>
      <c r="H361" t="s">
        <v>1863</v>
      </c>
      <c r="J361" t="s">
        <v>1866</v>
      </c>
    </row>
    <row r="362" spans="1:10">
      <c r="A362" s="1">
        <f>HYPERLINK("https://cms.ls-nyc.org/matter/dynamic-profile/view/1894474","19-1894474")</f>
        <v>0</v>
      </c>
      <c r="B362" t="s">
        <v>10</v>
      </c>
      <c r="C362" t="s">
        <v>30</v>
      </c>
      <c r="D362" t="s">
        <v>366</v>
      </c>
      <c r="F362" t="s">
        <v>1856</v>
      </c>
      <c r="H362" t="s">
        <v>1863</v>
      </c>
      <c r="J362" t="s">
        <v>1866</v>
      </c>
    </row>
    <row r="363" spans="1:10">
      <c r="A363" s="1">
        <f>HYPERLINK("https://cms.ls-nyc.org/matter/dynamic-profile/view/1894523","19-1894523")</f>
        <v>0</v>
      </c>
      <c r="B363" t="s">
        <v>12</v>
      </c>
      <c r="C363" t="s">
        <v>21</v>
      </c>
      <c r="D363" t="s">
        <v>367</v>
      </c>
      <c r="E363" t="s">
        <v>1807</v>
      </c>
      <c r="F363" t="s">
        <v>1853</v>
      </c>
      <c r="H363" t="s">
        <v>1863</v>
      </c>
      <c r="J363" t="s">
        <v>1869</v>
      </c>
    </row>
    <row r="364" spans="1:10">
      <c r="A364" s="1">
        <f>HYPERLINK("https://cms.ls-nyc.org/matter/dynamic-profile/view/1894578","19-1894578")</f>
        <v>0</v>
      </c>
      <c r="B364" t="s">
        <v>10</v>
      </c>
      <c r="C364" t="s">
        <v>30</v>
      </c>
      <c r="D364" t="s">
        <v>368</v>
      </c>
      <c r="E364" t="s">
        <v>1815</v>
      </c>
      <c r="F364" t="s">
        <v>1856</v>
      </c>
      <c r="H364" t="s">
        <v>1863</v>
      </c>
      <c r="J364" t="s">
        <v>1866</v>
      </c>
    </row>
    <row r="365" spans="1:10">
      <c r="A365" s="1">
        <f>HYPERLINK("https://cms.ls-nyc.org/matter/dynamic-profile/view/1894601","19-1894601")</f>
        <v>0</v>
      </c>
      <c r="B365" t="s">
        <v>12</v>
      </c>
      <c r="C365" t="s">
        <v>21</v>
      </c>
      <c r="D365" t="s">
        <v>369</v>
      </c>
      <c r="E365" t="s">
        <v>1809</v>
      </c>
      <c r="F365" t="s">
        <v>1856</v>
      </c>
      <c r="H365" t="s">
        <v>1863</v>
      </c>
      <c r="J365" t="s">
        <v>1866</v>
      </c>
    </row>
    <row r="366" spans="1:10">
      <c r="A366" s="1">
        <f>HYPERLINK("https://cms.ls-nyc.org/matter/dynamic-profile/view/1894332","19-1894332")</f>
        <v>0</v>
      </c>
      <c r="B366" t="s">
        <v>14</v>
      </c>
      <c r="C366" t="s">
        <v>28</v>
      </c>
      <c r="D366" t="s">
        <v>370</v>
      </c>
      <c r="E366" t="s">
        <v>1799</v>
      </c>
      <c r="F366" t="s">
        <v>1859</v>
      </c>
      <c r="H366" t="s">
        <v>1863</v>
      </c>
      <c r="J366" t="s">
        <v>1868</v>
      </c>
    </row>
    <row r="367" spans="1:10">
      <c r="A367" s="1">
        <f>HYPERLINK("https://cms.ls-nyc.org/matter/dynamic-profile/view/1894329","19-1894329")</f>
        <v>0</v>
      </c>
      <c r="B367" t="s">
        <v>14</v>
      </c>
      <c r="C367" t="s">
        <v>28</v>
      </c>
      <c r="D367" t="s">
        <v>371</v>
      </c>
      <c r="E367" t="s">
        <v>1799</v>
      </c>
      <c r="F367" t="s">
        <v>1859</v>
      </c>
      <c r="H367" t="s">
        <v>1863</v>
      </c>
      <c r="J367" t="s">
        <v>1868</v>
      </c>
    </row>
    <row r="368" spans="1:10">
      <c r="A368" s="1">
        <f>HYPERLINK("https://cms.ls-nyc.org/matter/dynamic-profile/view/1894194","19-1894194")</f>
        <v>0</v>
      </c>
      <c r="B368" t="s">
        <v>11</v>
      </c>
      <c r="C368" t="s">
        <v>36</v>
      </c>
      <c r="D368" t="s">
        <v>372</v>
      </c>
      <c r="E368" t="s">
        <v>1802</v>
      </c>
      <c r="F368" t="s">
        <v>1853</v>
      </c>
      <c r="H368" t="s">
        <v>1863</v>
      </c>
      <c r="J368" t="s">
        <v>1869</v>
      </c>
    </row>
    <row r="369" spans="1:10">
      <c r="A369" s="1">
        <f>HYPERLINK("https://cms.ls-nyc.org/matter/dynamic-profile/view/1894212","19-1894212")</f>
        <v>0</v>
      </c>
      <c r="B369" t="s">
        <v>11</v>
      </c>
      <c r="C369" t="s">
        <v>36</v>
      </c>
      <c r="D369" t="s">
        <v>373</v>
      </c>
      <c r="E369" t="s">
        <v>1807</v>
      </c>
      <c r="F369" t="s">
        <v>1853</v>
      </c>
      <c r="H369" t="s">
        <v>1863</v>
      </c>
      <c r="J369" t="s">
        <v>1869</v>
      </c>
    </row>
    <row r="370" spans="1:10">
      <c r="A370" s="1">
        <f>HYPERLINK("https://cms.ls-nyc.org/matter/dynamic-profile/view/1894276","19-1894276")</f>
        <v>0</v>
      </c>
      <c r="B370" t="s">
        <v>12</v>
      </c>
      <c r="C370" t="s">
        <v>21</v>
      </c>
      <c r="D370" t="s">
        <v>374</v>
      </c>
      <c r="E370" t="s">
        <v>1830</v>
      </c>
      <c r="F370" t="s">
        <v>1853</v>
      </c>
      <c r="H370" t="s">
        <v>1863</v>
      </c>
      <c r="J370" t="s">
        <v>1867</v>
      </c>
    </row>
    <row r="371" spans="1:10">
      <c r="A371" s="1">
        <f>HYPERLINK("https://cms.ls-nyc.org/matter/dynamic-profile/view/1894284","19-1894284")</f>
        <v>0</v>
      </c>
      <c r="B371" t="s">
        <v>12</v>
      </c>
      <c r="C371" t="s">
        <v>21</v>
      </c>
      <c r="D371" t="s">
        <v>375</v>
      </c>
      <c r="E371" t="s">
        <v>1830</v>
      </c>
      <c r="F371" t="s">
        <v>1853</v>
      </c>
      <c r="H371" t="s">
        <v>1863</v>
      </c>
      <c r="J371" t="s">
        <v>1867</v>
      </c>
    </row>
    <row r="372" spans="1:10">
      <c r="A372" s="1">
        <f>HYPERLINK("https://cms.ls-nyc.org/matter/dynamic-profile/view/1894287","19-1894287")</f>
        <v>0</v>
      </c>
      <c r="B372" t="s">
        <v>12</v>
      </c>
      <c r="C372" t="s">
        <v>21</v>
      </c>
      <c r="D372" t="s">
        <v>376</v>
      </c>
      <c r="E372" t="s">
        <v>1830</v>
      </c>
      <c r="F372" t="s">
        <v>1853</v>
      </c>
      <c r="H372" t="s">
        <v>1863</v>
      </c>
      <c r="J372" t="s">
        <v>1867</v>
      </c>
    </row>
    <row r="373" spans="1:10">
      <c r="A373" s="1">
        <f>HYPERLINK("https://cms.ls-nyc.org/matter/dynamic-profile/view/1894293","19-1894293")</f>
        <v>0</v>
      </c>
      <c r="B373" t="s">
        <v>13</v>
      </c>
      <c r="C373" t="s">
        <v>29</v>
      </c>
      <c r="D373" t="s">
        <v>377</v>
      </c>
      <c r="E373" t="s">
        <v>1804</v>
      </c>
      <c r="F373" t="s">
        <v>1853</v>
      </c>
      <c r="H373" t="s">
        <v>1863</v>
      </c>
      <c r="J373" t="s">
        <v>1867</v>
      </c>
    </row>
    <row r="374" spans="1:10">
      <c r="A374" s="1">
        <f>HYPERLINK("https://cms.ls-nyc.org/matter/dynamic-profile/view/1894298","19-1894298")</f>
        <v>0</v>
      </c>
      <c r="B374" t="s">
        <v>13</v>
      </c>
      <c r="C374" t="s">
        <v>29</v>
      </c>
      <c r="D374" t="s">
        <v>378</v>
      </c>
      <c r="E374" t="s">
        <v>1804</v>
      </c>
      <c r="F374" t="s">
        <v>1853</v>
      </c>
      <c r="H374" t="s">
        <v>1863</v>
      </c>
      <c r="J374" t="s">
        <v>1867</v>
      </c>
    </row>
    <row r="375" spans="1:10">
      <c r="A375" s="1">
        <f>HYPERLINK("https://cms.ls-nyc.org/matter/dynamic-profile/view/1894328","19-1894328")</f>
        <v>0</v>
      </c>
      <c r="B375" t="s">
        <v>11</v>
      </c>
      <c r="C375" t="s">
        <v>36</v>
      </c>
      <c r="D375" t="s">
        <v>379</v>
      </c>
      <c r="E375" t="s">
        <v>1803</v>
      </c>
      <c r="F375" t="s">
        <v>1859</v>
      </c>
      <c r="H375" t="s">
        <v>1863</v>
      </c>
      <c r="J375" t="s">
        <v>1868</v>
      </c>
    </row>
    <row r="376" spans="1:10">
      <c r="A376" s="1">
        <f>HYPERLINK("https://cms.ls-nyc.org/matter/dynamic-profile/view/1894034","19-1894034")</f>
        <v>0</v>
      </c>
      <c r="B376" t="s">
        <v>12</v>
      </c>
      <c r="C376" t="s">
        <v>49</v>
      </c>
      <c r="D376" t="s">
        <v>380</v>
      </c>
      <c r="E376" t="s">
        <v>1804</v>
      </c>
      <c r="G376" t="s">
        <v>1861</v>
      </c>
      <c r="J376" t="s">
        <v>1867</v>
      </c>
    </row>
    <row r="377" spans="1:10">
      <c r="A377" s="1">
        <f>HYPERLINK("https://cms.ls-nyc.org/matter/dynamic-profile/view/1894053","19-1894053")</f>
        <v>0</v>
      </c>
      <c r="B377" t="s">
        <v>10</v>
      </c>
      <c r="C377" t="s">
        <v>17</v>
      </c>
      <c r="D377" t="s">
        <v>381</v>
      </c>
      <c r="E377" t="s">
        <v>1799</v>
      </c>
      <c r="F377" t="s">
        <v>1853</v>
      </c>
      <c r="H377" t="s">
        <v>1863</v>
      </c>
      <c r="J377" t="s">
        <v>1867</v>
      </c>
    </row>
    <row r="378" spans="1:10">
      <c r="A378" s="1">
        <f>HYPERLINK("https://cms.ls-nyc.org/matter/dynamic-profile/view/1894058","19-1894058")</f>
        <v>0</v>
      </c>
      <c r="B378" t="s">
        <v>12</v>
      </c>
      <c r="C378" t="s">
        <v>21</v>
      </c>
      <c r="D378" t="s">
        <v>382</v>
      </c>
      <c r="E378" t="s">
        <v>1804</v>
      </c>
      <c r="F378" t="s">
        <v>1853</v>
      </c>
      <c r="H378" t="s">
        <v>1863</v>
      </c>
      <c r="J378" t="s">
        <v>1867</v>
      </c>
    </row>
    <row r="379" spans="1:10">
      <c r="A379" s="1">
        <f>HYPERLINK("https://cms.ls-nyc.org/matter/dynamic-profile/view/1894092","19-1894092")</f>
        <v>0</v>
      </c>
      <c r="B379" t="s">
        <v>10</v>
      </c>
      <c r="C379" t="s">
        <v>16</v>
      </c>
      <c r="D379" t="s">
        <v>383</v>
      </c>
      <c r="E379" t="s">
        <v>1799</v>
      </c>
      <c r="F379" t="s">
        <v>1853</v>
      </c>
      <c r="H379" t="s">
        <v>1863</v>
      </c>
      <c r="J379" t="s">
        <v>1867</v>
      </c>
    </row>
    <row r="380" spans="1:10">
      <c r="A380" s="1">
        <f>HYPERLINK("https://cms.ls-nyc.org/matter/dynamic-profile/view/1894096","19-1894096")</f>
        <v>0</v>
      </c>
      <c r="B380" t="s">
        <v>14</v>
      </c>
      <c r="C380" t="s">
        <v>45</v>
      </c>
      <c r="D380" t="s">
        <v>384</v>
      </c>
      <c r="G380" t="s">
        <v>1861</v>
      </c>
      <c r="J380" t="s">
        <v>1866</v>
      </c>
    </row>
    <row r="381" spans="1:10">
      <c r="A381" s="1">
        <f>HYPERLINK("https://cms.ls-nyc.org/matter/dynamic-profile/view/1894097","19-1894097")</f>
        <v>0</v>
      </c>
      <c r="B381" t="s">
        <v>10</v>
      </c>
      <c r="C381" t="s">
        <v>16</v>
      </c>
      <c r="D381" t="s">
        <v>383</v>
      </c>
      <c r="E381" t="s">
        <v>1800</v>
      </c>
      <c r="F381" t="s">
        <v>1853</v>
      </c>
      <c r="H381" t="s">
        <v>1863</v>
      </c>
      <c r="J381" t="s">
        <v>1867</v>
      </c>
    </row>
    <row r="382" spans="1:10">
      <c r="A382" s="1">
        <f>HYPERLINK("https://cms.ls-nyc.org/matter/dynamic-profile/view/1894105","19-1894105")</f>
        <v>0</v>
      </c>
      <c r="B382" t="s">
        <v>10</v>
      </c>
      <c r="C382" t="s">
        <v>17</v>
      </c>
      <c r="D382" t="s">
        <v>385</v>
      </c>
      <c r="E382" t="s">
        <v>1799</v>
      </c>
      <c r="F382" t="s">
        <v>1853</v>
      </c>
      <c r="H382" t="s">
        <v>1863</v>
      </c>
      <c r="J382" t="s">
        <v>1867</v>
      </c>
    </row>
    <row r="383" spans="1:10">
      <c r="A383" s="1">
        <f>HYPERLINK("https://cms.ls-nyc.org/matter/dynamic-profile/view/1894148","19-1894148")</f>
        <v>0</v>
      </c>
      <c r="B383" t="s">
        <v>11</v>
      </c>
      <c r="C383" t="s">
        <v>36</v>
      </c>
      <c r="D383" t="s">
        <v>386</v>
      </c>
      <c r="E383" t="s">
        <v>1809</v>
      </c>
      <c r="F383" t="s">
        <v>1855</v>
      </c>
      <c r="G383" t="s">
        <v>1861</v>
      </c>
      <c r="H383" t="s">
        <v>1863</v>
      </c>
      <c r="J383" t="s">
        <v>1871</v>
      </c>
    </row>
    <row r="384" spans="1:10">
      <c r="A384" s="1">
        <f>HYPERLINK("https://cms.ls-nyc.org/matter/dynamic-profile/view/1894158","19-1894158")</f>
        <v>0</v>
      </c>
      <c r="B384" t="s">
        <v>14</v>
      </c>
      <c r="C384" t="s">
        <v>28</v>
      </c>
      <c r="D384" t="s">
        <v>387</v>
      </c>
      <c r="E384" t="s">
        <v>1813</v>
      </c>
      <c r="F384" t="s">
        <v>1855</v>
      </c>
      <c r="G384" t="s">
        <v>1861</v>
      </c>
      <c r="J384" t="s">
        <v>1871</v>
      </c>
    </row>
    <row r="385" spans="1:10">
      <c r="A385" s="1">
        <f>HYPERLINK("https://cms.ls-nyc.org/matter/dynamic-profile/view/1893902","19-1893902")</f>
        <v>0</v>
      </c>
      <c r="B385" t="s">
        <v>14</v>
      </c>
      <c r="C385" t="s">
        <v>45</v>
      </c>
      <c r="D385" t="s">
        <v>388</v>
      </c>
      <c r="G385" t="s">
        <v>1861</v>
      </c>
      <c r="J385" t="s">
        <v>1866</v>
      </c>
    </row>
    <row r="386" spans="1:10">
      <c r="A386" s="1">
        <f>HYPERLINK("https://cms.ls-nyc.org/matter/dynamic-profile/view/1893915","19-1893915")</f>
        <v>0</v>
      </c>
      <c r="B386" t="s">
        <v>12</v>
      </c>
      <c r="C386" t="s">
        <v>49</v>
      </c>
      <c r="D386" t="s">
        <v>389</v>
      </c>
      <c r="E386" t="s">
        <v>1803</v>
      </c>
      <c r="G386" t="s">
        <v>1861</v>
      </c>
      <c r="J386" t="s">
        <v>1871</v>
      </c>
    </row>
    <row r="387" spans="1:10">
      <c r="A387" s="1">
        <f>HYPERLINK("https://cms.ls-nyc.org/matter/dynamic-profile/view/1894325","19-1894325")</f>
        <v>0</v>
      </c>
      <c r="B387" t="s">
        <v>12</v>
      </c>
      <c r="C387" t="s">
        <v>33</v>
      </c>
      <c r="D387" t="s">
        <v>121</v>
      </c>
      <c r="E387" t="s">
        <v>1802</v>
      </c>
      <c r="F387" t="s">
        <v>1853</v>
      </c>
      <c r="H387" t="s">
        <v>1863</v>
      </c>
      <c r="J387" t="s">
        <v>1869</v>
      </c>
    </row>
    <row r="388" spans="1:10">
      <c r="A388" s="1">
        <f>HYPERLINK("https://cms.ls-nyc.org/matter/dynamic-profile/view/1893707","19-1893707")</f>
        <v>0</v>
      </c>
      <c r="B388" t="s">
        <v>11</v>
      </c>
      <c r="C388" t="s">
        <v>36</v>
      </c>
      <c r="D388" t="s">
        <v>372</v>
      </c>
      <c r="E388" t="s">
        <v>1810</v>
      </c>
      <c r="F388" t="s">
        <v>1853</v>
      </c>
      <c r="H388" t="s">
        <v>1863</v>
      </c>
      <c r="J388" t="s">
        <v>1869</v>
      </c>
    </row>
    <row r="389" spans="1:10">
      <c r="A389" s="1">
        <f>HYPERLINK("https://cms.ls-nyc.org/matter/dynamic-profile/view/1893781","19-1893781")</f>
        <v>0</v>
      </c>
      <c r="B389" t="s">
        <v>14</v>
      </c>
      <c r="C389" t="s">
        <v>31</v>
      </c>
      <c r="D389" t="s">
        <v>390</v>
      </c>
      <c r="E389" t="s">
        <v>1821</v>
      </c>
      <c r="F389" t="s">
        <v>1853</v>
      </c>
      <c r="H389" t="s">
        <v>1863</v>
      </c>
      <c r="J389" t="s">
        <v>1869</v>
      </c>
    </row>
    <row r="390" spans="1:10">
      <c r="A390" s="1">
        <f>HYPERLINK("https://cms.ls-nyc.org/matter/dynamic-profile/view/1893839","19-1893839")</f>
        <v>0</v>
      </c>
      <c r="B390" t="s">
        <v>11</v>
      </c>
      <c r="C390" t="s">
        <v>37</v>
      </c>
      <c r="D390" t="s">
        <v>391</v>
      </c>
      <c r="E390" t="s">
        <v>1809</v>
      </c>
      <c r="F390" t="s">
        <v>1858</v>
      </c>
      <c r="H390" t="s">
        <v>1863</v>
      </c>
      <c r="J390" t="s">
        <v>1868</v>
      </c>
    </row>
    <row r="391" spans="1:10">
      <c r="A391" s="1">
        <f>HYPERLINK("https://cms.ls-nyc.org/matter/dynamic-profile/view/1893663","19-1893663")</f>
        <v>0</v>
      </c>
      <c r="B391" t="s">
        <v>13</v>
      </c>
      <c r="C391" t="s">
        <v>24</v>
      </c>
      <c r="D391" t="s">
        <v>392</v>
      </c>
      <c r="G391" t="s">
        <v>1861</v>
      </c>
      <c r="J391" t="s">
        <v>1866</v>
      </c>
    </row>
    <row r="392" spans="1:10">
      <c r="A392" s="1">
        <f>HYPERLINK("https://cms.ls-nyc.org/matter/dynamic-profile/view/1893690","19-1893690")</f>
        <v>0</v>
      </c>
      <c r="B392" t="s">
        <v>13</v>
      </c>
      <c r="C392" t="s">
        <v>24</v>
      </c>
      <c r="D392" t="s">
        <v>393</v>
      </c>
      <c r="E392" t="s">
        <v>1804</v>
      </c>
      <c r="F392" t="s">
        <v>1853</v>
      </c>
      <c r="H392" t="s">
        <v>1863</v>
      </c>
      <c r="J392" t="s">
        <v>1867</v>
      </c>
    </row>
    <row r="393" spans="1:10">
      <c r="A393" s="1">
        <f>HYPERLINK("https://cms.ls-nyc.org/matter/dynamic-profile/view/1893551","19-1893551")</f>
        <v>0</v>
      </c>
      <c r="B393" t="s">
        <v>14</v>
      </c>
      <c r="C393" t="s">
        <v>31</v>
      </c>
      <c r="D393" t="s">
        <v>394</v>
      </c>
      <c r="E393" t="s">
        <v>1809</v>
      </c>
      <c r="F393" t="s">
        <v>1858</v>
      </c>
      <c r="G393" t="s">
        <v>1861</v>
      </c>
      <c r="H393" t="s">
        <v>1864</v>
      </c>
      <c r="J393" t="s">
        <v>1868</v>
      </c>
    </row>
    <row r="394" spans="1:10">
      <c r="A394" s="1">
        <f>HYPERLINK("https://cms.ls-nyc.org/matter/dynamic-profile/view/1893536","19-1893536")</f>
        <v>0</v>
      </c>
      <c r="B394" t="s">
        <v>11</v>
      </c>
      <c r="C394" t="s">
        <v>36</v>
      </c>
      <c r="D394" t="s">
        <v>395</v>
      </c>
      <c r="E394" t="s">
        <v>1810</v>
      </c>
      <c r="F394" t="s">
        <v>1853</v>
      </c>
      <c r="H394" t="s">
        <v>1863</v>
      </c>
      <c r="J394" t="s">
        <v>1869</v>
      </c>
    </row>
    <row r="395" spans="1:10">
      <c r="A395" s="1">
        <f>HYPERLINK("https://cms.ls-nyc.org/matter/dynamic-profile/view/1893542","19-1893542")</f>
        <v>0</v>
      </c>
      <c r="B395" t="s">
        <v>11</v>
      </c>
      <c r="C395" t="s">
        <v>36</v>
      </c>
      <c r="D395" t="s">
        <v>395</v>
      </c>
      <c r="E395" t="s">
        <v>1802</v>
      </c>
      <c r="F395" t="s">
        <v>1853</v>
      </c>
      <c r="H395" t="s">
        <v>1863</v>
      </c>
      <c r="J395" t="s">
        <v>1869</v>
      </c>
    </row>
    <row r="396" spans="1:10">
      <c r="A396" s="1">
        <f>HYPERLINK("https://cms.ls-nyc.org/matter/dynamic-profile/view/1893357","19-1893357")</f>
        <v>0</v>
      </c>
      <c r="B396" t="s">
        <v>14</v>
      </c>
      <c r="C396" t="s">
        <v>28</v>
      </c>
      <c r="D396" t="s">
        <v>396</v>
      </c>
      <c r="E396" t="s">
        <v>1804</v>
      </c>
      <c r="F396" t="s">
        <v>1853</v>
      </c>
      <c r="H396" t="s">
        <v>1863</v>
      </c>
      <c r="I396" t="s">
        <v>1865</v>
      </c>
      <c r="J396" t="s">
        <v>1866</v>
      </c>
    </row>
    <row r="397" spans="1:10">
      <c r="A397" s="1">
        <f>HYPERLINK("https://cms.ls-nyc.org/matter/dynamic-profile/view/1893381","19-1893381")</f>
        <v>0</v>
      </c>
      <c r="B397" t="s">
        <v>10</v>
      </c>
      <c r="C397" t="s">
        <v>17</v>
      </c>
      <c r="D397" t="s">
        <v>397</v>
      </c>
      <c r="E397" t="s">
        <v>1815</v>
      </c>
      <c r="F397" t="s">
        <v>1853</v>
      </c>
      <c r="H397" t="s">
        <v>1863</v>
      </c>
      <c r="J397" t="s">
        <v>1867</v>
      </c>
    </row>
    <row r="398" spans="1:10">
      <c r="A398" s="1">
        <f>HYPERLINK("https://cms.ls-nyc.org/matter/dynamic-profile/view/1893406","19-1893406")</f>
        <v>0</v>
      </c>
      <c r="B398" t="s">
        <v>10</v>
      </c>
      <c r="C398" t="s">
        <v>30</v>
      </c>
      <c r="D398" t="s">
        <v>398</v>
      </c>
      <c r="E398" t="s">
        <v>1815</v>
      </c>
      <c r="F398" t="s">
        <v>1856</v>
      </c>
      <c r="H398" t="s">
        <v>1863</v>
      </c>
      <c r="J398" t="s">
        <v>1866</v>
      </c>
    </row>
    <row r="399" spans="1:10">
      <c r="A399" s="1">
        <f>HYPERLINK("https://cms.ls-nyc.org/matter/dynamic-profile/view/1893453","19-1893453")</f>
        <v>0</v>
      </c>
      <c r="B399" t="s">
        <v>12</v>
      </c>
      <c r="C399" t="s">
        <v>49</v>
      </c>
      <c r="D399" t="s">
        <v>399</v>
      </c>
      <c r="F399" t="s">
        <v>1856</v>
      </c>
      <c r="H399" t="s">
        <v>1863</v>
      </c>
      <c r="J399" t="s">
        <v>1866</v>
      </c>
    </row>
    <row r="400" spans="1:10">
      <c r="A400" s="1">
        <f>HYPERLINK("https://cms.ls-nyc.org/matter/dynamic-profile/view/1893458","19-1893458")</f>
        <v>0</v>
      </c>
      <c r="B400" t="s">
        <v>10</v>
      </c>
      <c r="C400" t="s">
        <v>16</v>
      </c>
      <c r="D400" t="s">
        <v>400</v>
      </c>
      <c r="E400" t="s">
        <v>1803</v>
      </c>
      <c r="F400" t="s">
        <v>1855</v>
      </c>
      <c r="H400" t="s">
        <v>1863</v>
      </c>
      <c r="J400" t="s">
        <v>1871</v>
      </c>
    </row>
    <row r="401" spans="1:10">
      <c r="A401" s="1">
        <f>HYPERLINK("https://cms.ls-nyc.org/matter/dynamic-profile/view/1893459","19-1893459")</f>
        <v>0</v>
      </c>
      <c r="B401" t="s">
        <v>10</v>
      </c>
      <c r="C401" t="s">
        <v>16</v>
      </c>
      <c r="D401" t="s">
        <v>401</v>
      </c>
      <c r="E401" t="s">
        <v>1803</v>
      </c>
      <c r="F401" t="s">
        <v>1855</v>
      </c>
      <c r="G401" t="s">
        <v>1861</v>
      </c>
      <c r="J401" t="s">
        <v>1870</v>
      </c>
    </row>
    <row r="402" spans="1:10">
      <c r="A402" s="1">
        <f>HYPERLINK("https://cms.ls-nyc.org/matter/dynamic-profile/view/1893461","19-1893461")</f>
        <v>0</v>
      </c>
      <c r="B402" t="s">
        <v>10</v>
      </c>
      <c r="C402" t="s">
        <v>16</v>
      </c>
      <c r="D402" t="s">
        <v>402</v>
      </c>
      <c r="E402" t="s">
        <v>1803</v>
      </c>
      <c r="F402" t="s">
        <v>1855</v>
      </c>
      <c r="H402" t="s">
        <v>1863</v>
      </c>
      <c r="J402" t="s">
        <v>1870</v>
      </c>
    </row>
    <row r="403" spans="1:10">
      <c r="A403" s="1">
        <f>HYPERLINK("https://cms.ls-nyc.org/matter/dynamic-profile/view/1893464","19-1893464")</f>
        <v>0</v>
      </c>
      <c r="B403" t="s">
        <v>12</v>
      </c>
      <c r="C403" t="s">
        <v>50</v>
      </c>
      <c r="D403" t="s">
        <v>403</v>
      </c>
      <c r="E403" t="s">
        <v>1826</v>
      </c>
      <c r="F403" t="s">
        <v>1853</v>
      </c>
      <c r="H403" t="s">
        <v>1863</v>
      </c>
      <c r="J403" t="s">
        <v>1867</v>
      </c>
    </row>
    <row r="404" spans="1:10">
      <c r="A404" s="1">
        <f>HYPERLINK("https://cms.ls-nyc.org/matter/dynamic-profile/view/1893466","19-1893466")</f>
        <v>0</v>
      </c>
      <c r="B404" t="s">
        <v>12</v>
      </c>
      <c r="C404" t="s">
        <v>50</v>
      </c>
      <c r="D404" t="s">
        <v>404</v>
      </c>
      <c r="E404" t="s">
        <v>1826</v>
      </c>
      <c r="F404" t="s">
        <v>1853</v>
      </c>
      <c r="H404" t="s">
        <v>1863</v>
      </c>
      <c r="J404" t="s">
        <v>1867</v>
      </c>
    </row>
    <row r="405" spans="1:10">
      <c r="A405" s="1">
        <f>HYPERLINK("https://cms.ls-nyc.org/matter/dynamic-profile/view/1893171","19-1893171")</f>
        <v>0</v>
      </c>
      <c r="B405" t="s">
        <v>14</v>
      </c>
      <c r="C405" t="s">
        <v>25</v>
      </c>
      <c r="D405" t="s">
        <v>405</v>
      </c>
      <c r="G405" t="s">
        <v>1861</v>
      </c>
      <c r="J405" t="s">
        <v>1868</v>
      </c>
    </row>
    <row r="406" spans="1:10">
      <c r="A406" s="1">
        <f>HYPERLINK("https://cms.ls-nyc.org/matter/dynamic-profile/view/1893186","19-1893186")</f>
        <v>0</v>
      </c>
      <c r="B406" t="s">
        <v>10</v>
      </c>
      <c r="C406" t="s">
        <v>17</v>
      </c>
      <c r="D406" t="s">
        <v>406</v>
      </c>
      <c r="E406" t="s">
        <v>1815</v>
      </c>
      <c r="F406" t="s">
        <v>1853</v>
      </c>
      <c r="H406" t="s">
        <v>1863</v>
      </c>
      <c r="J406" t="s">
        <v>1867</v>
      </c>
    </row>
    <row r="407" spans="1:10">
      <c r="A407" s="1">
        <f>HYPERLINK("https://cms.ls-nyc.org/matter/dynamic-profile/view/1893227","19-1893227")</f>
        <v>0</v>
      </c>
      <c r="B407" t="s">
        <v>10</v>
      </c>
      <c r="C407" t="s">
        <v>44</v>
      </c>
      <c r="D407" t="s">
        <v>407</v>
      </c>
      <c r="E407" t="s">
        <v>1810</v>
      </c>
      <c r="F407" t="s">
        <v>1856</v>
      </c>
      <c r="H407" t="s">
        <v>1863</v>
      </c>
      <c r="J407" t="s">
        <v>1866</v>
      </c>
    </row>
    <row r="408" spans="1:10">
      <c r="A408" s="1">
        <f>HYPERLINK("https://cms.ls-nyc.org/matter/dynamic-profile/view/1893670","19-1893670")</f>
        <v>0</v>
      </c>
      <c r="B408" t="s">
        <v>13</v>
      </c>
      <c r="C408" t="s">
        <v>24</v>
      </c>
      <c r="D408" t="s">
        <v>408</v>
      </c>
      <c r="E408" t="s">
        <v>1804</v>
      </c>
      <c r="F408" t="s">
        <v>1853</v>
      </c>
      <c r="H408" t="s">
        <v>1863</v>
      </c>
      <c r="J408" t="s">
        <v>1867</v>
      </c>
    </row>
    <row r="409" spans="1:10">
      <c r="A409" s="1">
        <f>HYPERLINK("https://cms.ls-nyc.org/matter/dynamic-profile/view/1893468","19-1893468")</f>
        <v>0</v>
      </c>
      <c r="B409" t="s">
        <v>14</v>
      </c>
      <c r="C409" t="s">
        <v>25</v>
      </c>
      <c r="D409" t="s">
        <v>409</v>
      </c>
      <c r="E409" t="s">
        <v>1815</v>
      </c>
      <c r="F409" t="s">
        <v>1858</v>
      </c>
      <c r="H409" t="s">
        <v>1863</v>
      </c>
      <c r="J409" t="s">
        <v>1868</v>
      </c>
    </row>
    <row r="410" spans="1:10">
      <c r="A410" s="1">
        <f>HYPERLINK("https://cms.ls-nyc.org/matter/dynamic-profile/view/1893039","19-1893039")</f>
        <v>0</v>
      </c>
      <c r="B410" t="s">
        <v>10</v>
      </c>
      <c r="C410" t="s">
        <v>30</v>
      </c>
      <c r="D410" t="s">
        <v>410</v>
      </c>
      <c r="E410" t="s">
        <v>1807</v>
      </c>
      <c r="F410" t="s">
        <v>1858</v>
      </c>
      <c r="H410" t="s">
        <v>1863</v>
      </c>
      <c r="J410" t="s">
        <v>1868</v>
      </c>
    </row>
    <row r="411" spans="1:10">
      <c r="A411" s="1">
        <f>HYPERLINK("https://cms.ls-nyc.org/matter/dynamic-profile/view/1893099","19-1893099")</f>
        <v>0</v>
      </c>
      <c r="B411" t="s">
        <v>10</v>
      </c>
      <c r="C411" t="s">
        <v>30</v>
      </c>
      <c r="D411" t="s">
        <v>411</v>
      </c>
      <c r="E411" t="s">
        <v>1815</v>
      </c>
      <c r="F411" t="s">
        <v>1859</v>
      </c>
      <c r="H411" t="s">
        <v>1863</v>
      </c>
      <c r="J411" t="s">
        <v>1868</v>
      </c>
    </row>
    <row r="412" spans="1:10">
      <c r="A412" s="1">
        <f>HYPERLINK("https://cms.ls-nyc.org/matter/dynamic-profile/view/1893030","19-1893030")</f>
        <v>0</v>
      </c>
      <c r="B412" t="s">
        <v>15</v>
      </c>
      <c r="C412" t="s">
        <v>35</v>
      </c>
      <c r="D412" t="s">
        <v>125</v>
      </c>
      <c r="E412" t="s">
        <v>1802</v>
      </c>
      <c r="G412" t="s">
        <v>1861</v>
      </c>
      <c r="J412" t="s">
        <v>1869</v>
      </c>
    </row>
    <row r="413" spans="1:10">
      <c r="A413" s="1">
        <f>HYPERLINK("https://cms.ls-nyc.org/matter/dynamic-profile/view/1893074","19-1893074")</f>
        <v>0</v>
      </c>
      <c r="B413" t="s">
        <v>11</v>
      </c>
      <c r="C413" t="s">
        <v>23</v>
      </c>
      <c r="D413" t="s">
        <v>412</v>
      </c>
      <c r="E413" t="s">
        <v>1803</v>
      </c>
      <c r="G413" t="s">
        <v>1861</v>
      </c>
      <c r="J413" t="s">
        <v>1870</v>
      </c>
    </row>
    <row r="414" spans="1:10">
      <c r="A414" s="1">
        <f>HYPERLINK("https://cms.ls-nyc.org/matter/dynamic-profile/view/1893134","19-1893134")</f>
        <v>0</v>
      </c>
      <c r="B414" t="s">
        <v>11</v>
      </c>
      <c r="C414" t="s">
        <v>38</v>
      </c>
      <c r="D414" t="s">
        <v>413</v>
      </c>
      <c r="E414" t="s">
        <v>1809</v>
      </c>
      <c r="F414" t="s">
        <v>1855</v>
      </c>
      <c r="H414" t="s">
        <v>1863</v>
      </c>
      <c r="J414" t="s">
        <v>1871</v>
      </c>
    </row>
    <row r="415" spans="1:10">
      <c r="A415" s="1">
        <f>HYPERLINK("https://cms.ls-nyc.org/matter/dynamic-profile/view/1893850","19-1893850")</f>
        <v>0</v>
      </c>
      <c r="B415" t="s">
        <v>11</v>
      </c>
      <c r="C415" t="s">
        <v>38</v>
      </c>
      <c r="D415" t="s">
        <v>414</v>
      </c>
      <c r="E415" t="s">
        <v>1809</v>
      </c>
      <c r="F415" t="s">
        <v>1855</v>
      </c>
      <c r="H415" t="s">
        <v>1863</v>
      </c>
      <c r="J415" t="s">
        <v>1869</v>
      </c>
    </row>
    <row r="416" spans="1:10">
      <c r="A416" s="1">
        <f>HYPERLINK("https://cms.ls-nyc.org/matter/dynamic-profile/view/1891377","19-1891377")</f>
        <v>0</v>
      </c>
      <c r="B416" t="s">
        <v>13</v>
      </c>
      <c r="C416" t="s">
        <v>24</v>
      </c>
      <c r="D416" t="s">
        <v>415</v>
      </c>
      <c r="F416" t="s">
        <v>1858</v>
      </c>
      <c r="G416" t="s">
        <v>1861</v>
      </c>
      <c r="J416" t="s">
        <v>1868</v>
      </c>
    </row>
    <row r="417" spans="1:10">
      <c r="A417" s="1">
        <f>HYPERLINK("https://cms.ls-nyc.org/matter/dynamic-profile/view/1892805","19-1892805")</f>
        <v>0</v>
      </c>
      <c r="B417" t="s">
        <v>14</v>
      </c>
      <c r="C417" t="s">
        <v>25</v>
      </c>
      <c r="D417" t="s">
        <v>213</v>
      </c>
      <c r="E417" t="s">
        <v>1809</v>
      </c>
      <c r="F417" t="s">
        <v>1855</v>
      </c>
      <c r="H417" t="s">
        <v>1863</v>
      </c>
      <c r="J417" t="s">
        <v>1870</v>
      </c>
    </row>
    <row r="418" spans="1:10">
      <c r="A418" s="1">
        <f>HYPERLINK("https://cms.ls-nyc.org/matter/dynamic-profile/view/1892809","19-1892809")</f>
        <v>0</v>
      </c>
      <c r="B418" t="s">
        <v>14</v>
      </c>
      <c r="C418" t="s">
        <v>25</v>
      </c>
      <c r="D418" t="s">
        <v>214</v>
      </c>
      <c r="E418" t="s">
        <v>1809</v>
      </c>
      <c r="F418" t="s">
        <v>1855</v>
      </c>
      <c r="H418" t="s">
        <v>1863</v>
      </c>
      <c r="J418" t="s">
        <v>1870</v>
      </c>
    </row>
    <row r="419" spans="1:10">
      <c r="A419" s="1">
        <f>HYPERLINK("https://cms.ls-nyc.org/matter/dynamic-profile/view/1892815","19-1892815")</f>
        <v>0</v>
      </c>
      <c r="B419" t="s">
        <v>14</v>
      </c>
      <c r="C419" t="s">
        <v>25</v>
      </c>
      <c r="D419" t="s">
        <v>215</v>
      </c>
      <c r="E419" t="s">
        <v>1809</v>
      </c>
      <c r="F419" t="s">
        <v>1855</v>
      </c>
      <c r="H419" t="s">
        <v>1863</v>
      </c>
      <c r="J419" t="s">
        <v>1870</v>
      </c>
    </row>
    <row r="420" spans="1:10">
      <c r="A420" s="1">
        <f>HYPERLINK("https://cms.ls-nyc.org/matter/dynamic-profile/view/1892829","19-1892829")</f>
        <v>0</v>
      </c>
      <c r="B420" t="s">
        <v>15</v>
      </c>
      <c r="C420" t="s">
        <v>35</v>
      </c>
      <c r="D420" t="s">
        <v>128</v>
      </c>
      <c r="E420" t="s">
        <v>1802</v>
      </c>
      <c r="F420" t="s">
        <v>1853</v>
      </c>
      <c r="H420" t="s">
        <v>1863</v>
      </c>
      <c r="J420" t="s">
        <v>1869</v>
      </c>
    </row>
    <row r="421" spans="1:10">
      <c r="A421" s="1">
        <f>HYPERLINK("https://cms.ls-nyc.org/matter/dynamic-profile/view/1892840","19-1892840")</f>
        <v>0</v>
      </c>
      <c r="B421" t="s">
        <v>15</v>
      </c>
      <c r="C421" t="s">
        <v>47</v>
      </c>
      <c r="D421" t="s">
        <v>339</v>
      </c>
      <c r="E421" t="s">
        <v>1803</v>
      </c>
      <c r="G421" t="s">
        <v>1861</v>
      </c>
      <c r="J421" t="s">
        <v>1871</v>
      </c>
    </row>
    <row r="422" spans="1:10">
      <c r="A422" s="1">
        <f>HYPERLINK("https://cms.ls-nyc.org/matter/dynamic-profile/view/1892925","19-1892925")</f>
        <v>0</v>
      </c>
      <c r="B422" t="s">
        <v>12</v>
      </c>
      <c r="C422" t="s">
        <v>21</v>
      </c>
      <c r="D422" t="s">
        <v>416</v>
      </c>
      <c r="E422" t="s">
        <v>1802</v>
      </c>
      <c r="F422" t="s">
        <v>1853</v>
      </c>
      <c r="H422" t="s">
        <v>1863</v>
      </c>
      <c r="J422" t="s">
        <v>1869</v>
      </c>
    </row>
    <row r="423" spans="1:10">
      <c r="A423" s="1">
        <f>HYPERLINK("https://cms.ls-nyc.org/matter/dynamic-profile/view/1892928","19-1892928")</f>
        <v>0</v>
      </c>
      <c r="B423" t="s">
        <v>12</v>
      </c>
      <c r="C423" t="s">
        <v>21</v>
      </c>
      <c r="D423" t="s">
        <v>417</v>
      </c>
      <c r="E423" t="s">
        <v>1807</v>
      </c>
      <c r="F423" t="s">
        <v>1853</v>
      </c>
      <c r="H423" t="s">
        <v>1863</v>
      </c>
      <c r="J423" t="s">
        <v>1869</v>
      </c>
    </row>
    <row r="424" spans="1:10">
      <c r="A424" s="1">
        <f>HYPERLINK("https://cms.ls-nyc.org/matter/dynamic-profile/view/1892933","19-1892933")</f>
        <v>0</v>
      </c>
      <c r="B424" t="s">
        <v>12</v>
      </c>
      <c r="C424" t="s">
        <v>21</v>
      </c>
      <c r="D424" t="s">
        <v>295</v>
      </c>
      <c r="E424" t="s">
        <v>1831</v>
      </c>
      <c r="F424" t="s">
        <v>1853</v>
      </c>
      <c r="H424" t="s">
        <v>1863</v>
      </c>
      <c r="J424" t="s">
        <v>1869</v>
      </c>
    </row>
    <row r="425" spans="1:10">
      <c r="A425" s="1">
        <f>HYPERLINK("https://cms.ls-nyc.org/matter/dynamic-profile/view/1892935","19-1892935")</f>
        <v>0</v>
      </c>
      <c r="B425" t="s">
        <v>12</v>
      </c>
      <c r="C425" t="s">
        <v>21</v>
      </c>
      <c r="D425" t="s">
        <v>295</v>
      </c>
      <c r="E425" t="s">
        <v>1809</v>
      </c>
      <c r="F425" t="s">
        <v>1855</v>
      </c>
      <c r="H425" t="s">
        <v>1863</v>
      </c>
      <c r="J425" t="s">
        <v>1871</v>
      </c>
    </row>
    <row r="426" spans="1:10">
      <c r="A426" s="1">
        <f>HYPERLINK("https://cms.ls-nyc.org/matter/dynamic-profile/view/1892647","19-1892647")</f>
        <v>0</v>
      </c>
      <c r="B426" t="s">
        <v>12</v>
      </c>
      <c r="C426" t="s">
        <v>21</v>
      </c>
      <c r="D426" t="s">
        <v>418</v>
      </c>
      <c r="E426" t="s">
        <v>1809</v>
      </c>
      <c r="F426" t="s">
        <v>1855</v>
      </c>
      <c r="H426" t="s">
        <v>1863</v>
      </c>
      <c r="J426" t="s">
        <v>1871</v>
      </c>
    </row>
    <row r="427" spans="1:10">
      <c r="A427" s="1">
        <f>HYPERLINK("https://cms.ls-nyc.org/matter/dynamic-profile/view/1892551","19-1892551")</f>
        <v>0</v>
      </c>
      <c r="B427" t="s">
        <v>14</v>
      </c>
      <c r="C427" t="s">
        <v>42</v>
      </c>
      <c r="D427" t="s">
        <v>419</v>
      </c>
      <c r="E427" t="s">
        <v>1799</v>
      </c>
      <c r="F427" t="s">
        <v>1853</v>
      </c>
      <c r="H427" t="s">
        <v>1863</v>
      </c>
      <c r="J427" t="s">
        <v>1867</v>
      </c>
    </row>
    <row r="428" spans="1:10">
      <c r="A428" s="1">
        <f>HYPERLINK("https://cms.ls-nyc.org/matter/dynamic-profile/view/1892518","19-1892518")</f>
        <v>0</v>
      </c>
      <c r="B428" t="s">
        <v>12</v>
      </c>
      <c r="C428" t="s">
        <v>21</v>
      </c>
      <c r="D428" t="s">
        <v>420</v>
      </c>
      <c r="E428" t="s">
        <v>1804</v>
      </c>
      <c r="F428" t="s">
        <v>1853</v>
      </c>
      <c r="H428" t="s">
        <v>1863</v>
      </c>
      <c r="J428" t="s">
        <v>1869</v>
      </c>
    </row>
    <row r="429" spans="1:10">
      <c r="A429" s="1">
        <f>HYPERLINK("https://cms.ls-nyc.org/matter/dynamic-profile/view/1892555","19-1892555")</f>
        <v>0</v>
      </c>
      <c r="B429" t="s">
        <v>12</v>
      </c>
      <c r="C429" t="s">
        <v>20</v>
      </c>
      <c r="D429" t="s">
        <v>421</v>
      </c>
      <c r="F429" t="s">
        <v>1856</v>
      </c>
      <c r="H429" t="s">
        <v>1863</v>
      </c>
      <c r="J429" t="s">
        <v>1866</v>
      </c>
    </row>
    <row r="430" spans="1:10">
      <c r="A430" s="1">
        <f>HYPERLINK("https://cms.ls-nyc.org/matter/dynamic-profile/view/1892574","19-1892574")</f>
        <v>0</v>
      </c>
      <c r="B430" t="s">
        <v>15</v>
      </c>
      <c r="C430" t="s">
        <v>35</v>
      </c>
      <c r="D430" t="s">
        <v>422</v>
      </c>
      <c r="E430" t="s">
        <v>1813</v>
      </c>
      <c r="F430" t="s">
        <v>1853</v>
      </c>
      <c r="H430" t="s">
        <v>1863</v>
      </c>
      <c r="J430" t="s">
        <v>1870</v>
      </c>
    </row>
    <row r="431" spans="1:10">
      <c r="A431" s="1">
        <f>HYPERLINK("https://cms.ls-nyc.org/matter/dynamic-profile/view/1892577","19-1892577")</f>
        <v>0</v>
      </c>
      <c r="B431" t="s">
        <v>15</v>
      </c>
      <c r="C431" t="s">
        <v>35</v>
      </c>
      <c r="D431" t="s">
        <v>422</v>
      </c>
      <c r="E431" t="s">
        <v>1803</v>
      </c>
      <c r="F431" t="s">
        <v>1853</v>
      </c>
      <c r="H431" t="s">
        <v>1863</v>
      </c>
      <c r="J431" t="s">
        <v>1870</v>
      </c>
    </row>
    <row r="432" spans="1:10">
      <c r="A432" s="1">
        <f>HYPERLINK("https://cms.ls-nyc.org/matter/dynamic-profile/view/1892612","19-1892612")</f>
        <v>0</v>
      </c>
      <c r="B432" t="s">
        <v>15</v>
      </c>
      <c r="C432" t="s">
        <v>35</v>
      </c>
      <c r="D432" t="s">
        <v>423</v>
      </c>
      <c r="F432" t="s">
        <v>1853</v>
      </c>
      <c r="H432" t="s">
        <v>1863</v>
      </c>
      <c r="J432" t="s">
        <v>1866</v>
      </c>
    </row>
    <row r="433" spans="1:10">
      <c r="A433" s="1">
        <f>HYPERLINK("https://cms.ls-nyc.org/matter/dynamic-profile/view/1892417","19-1892417")</f>
        <v>0</v>
      </c>
      <c r="B433" t="s">
        <v>15</v>
      </c>
      <c r="C433" t="s">
        <v>35</v>
      </c>
      <c r="D433" t="s">
        <v>424</v>
      </c>
      <c r="F433" t="s">
        <v>1857</v>
      </c>
      <c r="H433" t="s">
        <v>1863</v>
      </c>
      <c r="J433" t="s">
        <v>1868</v>
      </c>
    </row>
    <row r="434" spans="1:10">
      <c r="A434" s="1">
        <f>HYPERLINK("https://cms.ls-nyc.org/matter/dynamic-profile/view/1892400","19-1892400")</f>
        <v>0</v>
      </c>
      <c r="B434" t="s">
        <v>10</v>
      </c>
      <c r="C434" t="s">
        <v>30</v>
      </c>
      <c r="D434" t="s">
        <v>425</v>
      </c>
      <c r="E434" t="s">
        <v>1815</v>
      </c>
      <c r="F434" t="s">
        <v>1858</v>
      </c>
      <c r="G434" t="s">
        <v>1861</v>
      </c>
      <c r="J434" t="s">
        <v>1868</v>
      </c>
    </row>
    <row r="435" spans="1:10">
      <c r="A435" s="1">
        <f>HYPERLINK("https://cms.ls-nyc.org/matter/dynamic-profile/view/1892343","19-1892343")</f>
        <v>0</v>
      </c>
      <c r="B435" t="s">
        <v>14</v>
      </c>
      <c r="C435" t="s">
        <v>31</v>
      </c>
      <c r="D435" t="s">
        <v>426</v>
      </c>
      <c r="E435" t="s">
        <v>1819</v>
      </c>
      <c r="F435" t="s">
        <v>1859</v>
      </c>
      <c r="H435" t="s">
        <v>1863</v>
      </c>
      <c r="J435" t="s">
        <v>1868</v>
      </c>
    </row>
    <row r="436" spans="1:10">
      <c r="A436" s="1">
        <f>HYPERLINK("https://cms.ls-nyc.org/matter/dynamic-profile/view/1892396","19-1892396")</f>
        <v>0</v>
      </c>
      <c r="B436" t="s">
        <v>10</v>
      </c>
      <c r="C436" t="s">
        <v>51</v>
      </c>
      <c r="D436" t="s">
        <v>427</v>
      </c>
      <c r="F436" t="s">
        <v>1856</v>
      </c>
      <c r="H436" t="s">
        <v>1863</v>
      </c>
      <c r="J436" t="s">
        <v>1866</v>
      </c>
    </row>
    <row r="437" spans="1:10">
      <c r="A437" s="1">
        <f>HYPERLINK("https://cms.ls-nyc.org/matter/dynamic-profile/view/1892431","19-1892431")</f>
        <v>0</v>
      </c>
      <c r="B437" t="s">
        <v>15</v>
      </c>
      <c r="C437" t="s">
        <v>35</v>
      </c>
      <c r="D437" t="s">
        <v>422</v>
      </c>
      <c r="E437" t="s">
        <v>1802</v>
      </c>
      <c r="F437" t="s">
        <v>1853</v>
      </c>
      <c r="H437" t="s">
        <v>1863</v>
      </c>
      <c r="J437" t="s">
        <v>1869</v>
      </c>
    </row>
    <row r="438" spans="1:10">
      <c r="A438" s="1">
        <f>HYPERLINK("https://cms.ls-nyc.org/matter/dynamic-profile/view/1892437","19-1892437")</f>
        <v>0</v>
      </c>
      <c r="B438" t="s">
        <v>11</v>
      </c>
      <c r="C438" t="s">
        <v>41</v>
      </c>
      <c r="D438" t="s">
        <v>428</v>
      </c>
      <c r="E438" t="s">
        <v>1815</v>
      </c>
      <c r="F438" t="s">
        <v>1856</v>
      </c>
      <c r="H438" t="s">
        <v>1863</v>
      </c>
      <c r="J438" t="s">
        <v>1866</v>
      </c>
    </row>
    <row r="439" spans="1:10">
      <c r="A439" s="1">
        <f>HYPERLINK("https://cms.ls-nyc.org/matter/dynamic-profile/view/1892439","19-1892439")</f>
        <v>0</v>
      </c>
      <c r="B439" t="s">
        <v>14</v>
      </c>
      <c r="C439" t="s">
        <v>31</v>
      </c>
      <c r="D439" t="s">
        <v>354</v>
      </c>
      <c r="E439" t="s">
        <v>1823</v>
      </c>
      <c r="F439" t="s">
        <v>1853</v>
      </c>
      <c r="H439" t="s">
        <v>1863</v>
      </c>
      <c r="J439" t="s">
        <v>1867</v>
      </c>
    </row>
    <row r="440" spans="1:10">
      <c r="A440" s="1">
        <f>HYPERLINK("https://cms.ls-nyc.org/matter/dynamic-profile/view/1892448","19-1892448")</f>
        <v>0</v>
      </c>
      <c r="B440" t="s">
        <v>15</v>
      </c>
      <c r="C440" t="s">
        <v>27</v>
      </c>
      <c r="D440" t="s">
        <v>429</v>
      </c>
      <c r="E440" t="s">
        <v>1810</v>
      </c>
      <c r="G440" t="s">
        <v>1861</v>
      </c>
      <c r="J440" t="s">
        <v>1869</v>
      </c>
    </row>
    <row r="441" spans="1:10">
      <c r="A441" s="1">
        <f>HYPERLINK("https://cms.ls-nyc.org/matter/dynamic-profile/view/1892460","19-1892460")</f>
        <v>0</v>
      </c>
      <c r="B441" t="s">
        <v>11</v>
      </c>
      <c r="C441" t="s">
        <v>41</v>
      </c>
      <c r="D441" t="s">
        <v>430</v>
      </c>
      <c r="F441" t="s">
        <v>1856</v>
      </c>
      <c r="H441" t="s">
        <v>1863</v>
      </c>
      <c r="J441" t="s">
        <v>1866</v>
      </c>
    </row>
    <row r="442" spans="1:10">
      <c r="A442" s="1">
        <f>HYPERLINK("https://cms.ls-nyc.org/matter/dynamic-profile/view/1892462","19-1892462")</f>
        <v>0</v>
      </c>
      <c r="B442" t="s">
        <v>10</v>
      </c>
      <c r="C442" t="s">
        <v>30</v>
      </c>
      <c r="D442" t="s">
        <v>431</v>
      </c>
      <c r="E442" t="s">
        <v>1815</v>
      </c>
      <c r="F442" t="s">
        <v>1856</v>
      </c>
      <c r="H442" t="s">
        <v>1863</v>
      </c>
      <c r="J442" t="s">
        <v>1866</v>
      </c>
    </row>
    <row r="443" spans="1:10">
      <c r="A443" s="1">
        <f>HYPERLINK("https://cms.ls-nyc.org/matter/dynamic-profile/view/1892225","19-1892225")</f>
        <v>0</v>
      </c>
      <c r="B443" t="s">
        <v>10</v>
      </c>
      <c r="C443" t="s">
        <v>30</v>
      </c>
      <c r="D443" t="s">
        <v>432</v>
      </c>
      <c r="E443" t="s">
        <v>1815</v>
      </c>
      <c r="F443" t="s">
        <v>1858</v>
      </c>
      <c r="H443" t="s">
        <v>1863</v>
      </c>
      <c r="J443" t="s">
        <v>1868</v>
      </c>
    </row>
    <row r="444" spans="1:10">
      <c r="A444" s="1">
        <f>HYPERLINK("https://cms.ls-nyc.org/matter/dynamic-profile/view/1894247","19-1894247")</f>
        <v>0</v>
      </c>
      <c r="B444" t="s">
        <v>12</v>
      </c>
      <c r="C444" t="s">
        <v>33</v>
      </c>
      <c r="D444" t="s">
        <v>433</v>
      </c>
      <c r="E444" t="s">
        <v>1832</v>
      </c>
      <c r="G444" t="s">
        <v>1861</v>
      </c>
      <c r="J444" t="s">
        <v>1868</v>
      </c>
    </row>
    <row r="445" spans="1:10">
      <c r="A445" s="1">
        <f>HYPERLINK("https://cms.ls-nyc.org/matter/dynamic-profile/view/1892198","19-1892198")</f>
        <v>0</v>
      </c>
      <c r="B445" t="s">
        <v>11</v>
      </c>
      <c r="C445" t="s">
        <v>41</v>
      </c>
      <c r="D445" t="s">
        <v>434</v>
      </c>
      <c r="G445" t="s">
        <v>1861</v>
      </c>
      <c r="J445" t="s">
        <v>1866</v>
      </c>
    </row>
    <row r="446" spans="1:10">
      <c r="A446" s="1">
        <f>HYPERLINK("https://cms.ls-nyc.org/matter/dynamic-profile/view/1892209","19-1892209")</f>
        <v>0</v>
      </c>
      <c r="B446" t="s">
        <v>10</v>
      </c>
      <c r="C446" t="s">
        <v>44</v>
      </c>
      <c r="D446" t="s">
        <v>435</v>
      </c>
      <c r="E446" t="s">
        <v>1810</v>
      </c>
      <c r="F446" t="s">
        <v>1853</v>
      </c>
      <c r="H446" t="s">
        <v>1863</v>
      </c>
      <c r="J446" t="s">
        <v>1869</v>
      </c>
    </row>
    <row r="447" spans="1:10">
      <c r="A447" s="1">
        <f>HYPERLINK("https://cms.ls-nyc.org/matter/dynamic-profile/view/1892216","19-1892216")</f>
        <v>0</v>
      </c>
      <c r="B447" t="s">
        <v>14</v>
      </c>
      <c r="C447" t="s">
        <v>31</v>
      </c>
      <c r="D447" t="s">
        <v>436</v>
      </c>
      <c r="E447" t="s">
        <v>1800</v>
      </c>
      <c r="F447" t="s">
        <v>1853</v>
      </c>
      <c r="H447" t="s">
        <v>1863</v>
      </c>
      <c r="I447" t="s">
        <v>1865</v>
      </c>
      <c r="J447" t="s">
        <v>1866</v>
      </c>
    </row>
    <row r="448" spans="1:10">
      <c r="A448" s="1">
        <f>HYPERLINK("https://cms.ls-nyc.org/matter/dynamic-profile/view/1892260","19-1892260")</f>
        <v>0</v>
      </c>
      <c r="B448" t="s">
        <v>14</v>
      </c>
      <c r="C448" t="s">
        <v>31</v>
      </c>
      <c r="D448" t="s">
        <v>119</v>
      </c>
      <c r="E448" t="s">
        <v>1809</v>
      </c>
      <c r="F448" t="s">
        <v>1855</v>
      </c>
      <c r="H448" t="s">
        <v>1863</v>
      </c>
      <c r="J448" t="s">
        <v>1871</v>
      </c>
    </row>
    <row r="449" spans="1:10">
      <c r="A449" s="1">
        <f>HYPERLINK("https://cms.ls-nyc.org/matter/dynamic-profile/view/1892129","19-1892129")</f>
        <v>0</v>
      </c>
      <c r="B449" t="s">
        <v>14</v>
      </c>
      <c r="C449" t="s">
        <v>25</v>
      </c>
      <c r="D449" t="s">
        <v>437</v>
      </c>
      <c r="F449" t="s">
        <v>1858</v>
      </c>
      <c r="G449" t="s">
        <v>1861</v>
      </c>
      <c r="J449" t="s">
        <v>1868</v>
      </c>
    </row>
    <row r="450" spans="1:10">
      <c r="A450" s="1">
        <f>HYPERLINK("https://cms.ls-nyc.org/matter/dynamic-profile/view/1892073","19-1892073")</f>
        <v>0</v>
      </c>
      <c r="B450" t="s">
        <v>12</v>
      </c>
      <c r="C450" t="s">
        <v>49</v>
      </c>
      <c r="D450" t="s">
        <v>438</v>
      </c>
      <c r="E450" t="s">
        <v>1815</v>
      </c>
      <c r="F450" t="s">
        <v>1853</v>
      </c>
      <c r="H450" t="s">
        <v>1863</v>
      </c>
      <c r="J450" t="s">
        <v>1867</v>
      </c>
    </row>
    <row r="451" spans="1:10">
      <c r="A451" s="1">
        <f>HYPERLINK("https://cms.ls-nyc.org/matter/dynamic-profile/view/1892105","19-1892105")</f>
        <v>0</v>
      </c>
      <c r="B451" t="s">
        <v>14</v>
      </c>
      <c r="C451" t="s">
        <v>25</v>
      </c>
      <c r="D451" t="s">
        <v>209</v>
      </c>
      <c r="E451" t="s">
        <v>1809</v>
      </c>
      <c r="H451" t="s">
        <v>1863</v>
      </c>
      <c r="J451" t="s">
        <v>1871</v>
      </c>
    </row>
    <row r="452" spans="1:10">
      <c r="A452" s="1">
        <f>HYPERLINK("https://cms.ls-nyc.org/matter/dynamic-profile/view/1892119","19-1892119")</f>
        <v>0</v>
      </c>
      <c r="B452" t="s">
        <v>14</v>
      </c>
      <c r="C452" t="s">
        <v>31</v>
      </c>
      <c r="D452" t="s">
        <v>439</v>
      </c>
      <c r="E452" t="s">
        <v>1799</v>
      </c>
      <c r="F452" t="s">
        <v>1853</v>
      </c>
      <c r="H452" t="s">
        <v>1863</v>
      </c>
      <c r="J452" t="s">
        <v>1867</v>
      </c>
    </row>
    <row r="453" spans="1:10">
      <c r="A453" s="1">
        <f>HYPERLINK("https://cms.ls-nyc.org/matter/dynamic-profile/view/1892157","19-1892157")</f>
        <v>0</v>
      </c>
      <c r="B453" t="s">
        <v>14</v>
      </c>
      <c r="C453" t="s">
        <v>31</v>
      </c>
      <c r="D453" t="s">
        <v>440</v>
      </c>
      <c r="E453" t="s">
        <v>1812</v>
      </c>
      <c r="F453" t="s">
        <v>1853</v>
      </c>
      <c r="H453" t="s">
        <v>1863</v>
      </c>
      <c r="J453" t="s">
        <v>1867</v>
      </c>
    </row>
    <row r="454" spans="1:10">
      <c r="A454" s="1">
        <f>HYPERLINK("https://cms.ls-nyc.org/matter/dynamic-profile/view/1892163","19-1892163")</f>
        <v>0</v>
      </c>
      <c r="B454" t="s">
        <v>10</v>
      </c>
      <c r="C454" t="s">
        <v>16</v>
      </c>
      <c r="D454" t="s">
        <v>441</v>
      </c>
      <c r="E454" t="s">
        <v>1800</v>
      </c>
      <c r="F454" t="s">
        <v>1853</v>
      </c>
      <c r="H454" t="s">
        <v>1863</v>
      </c>
      <c r="J454" t="s">
        <v>1867</v>
      </c>
    </row>
    <row r="455" spans="1:10">
      <c r="A455" s="1">
        <f>HYPERLINK("https://cms.ls-nyc.org/matter/dynamic-profile/view/1892168","19-1892168")</f>
        <v>0</v>
      </c>
      <c r="B455" t="s">
        <v>11</v>
      </c>
      <c r="C455" t="s">
        <v>41</v>
      </c>
      <c r="D455" t="s">
        <v>442</v>
      </c>
      <c r="F455" t="s">
        <v>1856</v>
      </c>
      <c r="H455" t="s">
        <v>1863</v>
      </c>
      <c r="J455" t="s">
        <v>1866</v>
      </c>
    </row>
    <row r="456" spans="1:10">
      <c r="A456" s="1">
        <f>HYPERLINK("https://cms.ls-nyc.org/matter/dynamic-profile/view/1891955","19-1891955")</f>
        <v>0</v>
      </c>
      <c r="B456" t="s">
        <v>10</v>
      </c>
      <c r="C456" t="s">
        <v>16</v>
      </c>
      <c r="D456" t="s">
        <v>443</v>
      </c>
      <c r="E456" t="s">
        <v>1815</v>
      </c>
      <c r="F456" t="s">
        <v>1853</v>
      </c>
      <c r="G456" t="s">
        <v>1861</v>
      </c>
      <c r="J456" t="s">
        <v>1867</v>
      </c>
    </row>
    <row r="457" spans="1:10">
      <c r="A457" s="1">
        <f>HYPERLINK("https://cms.ls-nyc.org/matter/dynamic-profile/view/1891956","19-1891956")</f>
        <v>0</v>
      </c>
      <c r="B457" t="s">
        <v>14</v>
      </c>
      <c r="C457" t="s">
        <v>31</v>
      </c>
      <c r="D457" t="s">
        <v>444</v>
      </c>
      <c r="E457" t="s">
        <v>1799</v>
      </c>
      <c r="F457" t="s">
        <v>1853</v>
      </c>
      <c r="H457" t="s">
        <v>1863</v>
      </c>
      <c r="J457" t="s">
        <v>1867</v>
      </c>
    </row>
    <row r="458" spans="1:10">
      <c r="A458" s="1">
        <f>HYPERLINK("https://cms.ls-nyc.org/matter/dynamic-profile/view/1891970","19-1891970")</f>
        <v>0</v>
      </c>
      <c r="B458" t="s">
        <v>12</v>
      </c>
      <c r="C458" t="s">
        <v>40</v>
      </c>
      <c r="D458" t="s">
        <v>445</v>
      </c>
      <c r="E458" t="s">
        <v>1803</v>
      </c>
      <c r="F458" t="s">
        <v>1855</v>
      </c>
      <c r="H458" t="s">
        <v>1863</v>
      </c>
      <c r="J458" t="s">
        <v>1871</v>
      </c>
    </row>
    <row r="459" spans="1:10">
      <c r="A459" s="1">
        <f>HYPERLINK("https://cms.ls-nyc.org/matter/dynamic-profile/view/1891981","19-1891981")</f>
        <v>0</v>
      </c>
      <c r="B459" t="s">
        <v>14</v>
      </c>
      <c r="C459" t="s">
        <v>25</v>
      </c>
      <c r="D459" t="s">
        <v>446</v>
      </c>
      <c r="E459" t="s">
        <v>1803</v>
      </c>
      <c r="F459" t="s">
        <v>1858</v>
      </c>
      <c r="H459" t="s">
        <v>1863</v>
      </c>
      <c r="J459" t="s">
        <v>1868</v>
      </c>
    </row>
    <row r="460" spans="1:10">
      <c r="A460" s="1">
        <f>HYPERLINK("https://cms.ls-nyc.org/matter/dynamic-profile/view/1892009","19-1892009")</f>
        <v>0</v>
      </c>
      <c r="B460" t="s">
        <v>12</v>
      </c>
      <c r="C460" t="s">
        <v>21</v>
      </c>
      <c r="D460" t="s">
        <v>447</v>
      </c>
      <c r="E460" t="s">
        <v>1804</v>
      </c>
      <c r="F460" t="s">
        <v>1853</v>
      </c>
      <c r="H460" t="s">
        <v>1863</v>
      </c>
      <c r="J460" t="s">
        <v>1867</v>
      </c>
    </row>
    <row r="461" spans="1:10">
      <c r="A461" s="1">
        <f>HYPERLINK("https://cms.ls-nyc.org/matter/dynamic-profile/view/1892025","19-1892025")</f>
        <v>0</v>
      </c>
      <c r="B461" t="s">
        <v>11</v>
      </c>
      <c r="C461" t="s">
        <v>39</v>
      </c>
      <c r="D461" t="s">
        <v>448</v>
      </c>
      <c r="E461" t="s">
        <v>1810</v>
      </c>
      <c r="G461" t="s">
        <v>1861</v>
      </c>
      <c r="J461" t="s">
        <v>1869</v>
      </c>
    </row>
    <row r="462" spans="1:10">
      <c r="A462" s="1">
        <f>HYPERLINK("https://cms.ls-nyc.org/matter/dynamic-profile/view/1892043","19-1892043")</f>
        <v>0</v>
      </c>
      <c r="B462" t="s">
        <v>12</v>
      </c>
      <c r="C462" t="s">
        <v>21</v>
      </c>
      <c r="D462" t="s">
        <v>294</v>
      </c>
      <c r="E462" t="s">
        <v>1809</v>
      </c>
      <c r="F462" t="s">
        <v>1855</v>
      </c>
      <c r="H462" t="s">
        <v>1863</v>
      </c>
      <c r="J462" t="s">
        <v>1871</v>
      </c>
    </row>
    <row r="463" spans="1:10">
      <c r="A463" s="1">
        <f>HYPERLINK("https://cms.ls-nyc.org/matter/dynamic-profile/view/1891799","19-1891799")</f>
        <v>0</v>
      </c>
      <c r="B463" t="s">
        <v>14</v>
      </c>
      <c r="C463" t="s">
        <v>25</v>
      </c>
      <c r="D463" t="s">
        <v>449</v>
      </c>
      <c r="F463" t="s">
        <v>1858</v>
      </c>
      <c r="G463" t="s">
        <v>1861</v>
      </c>
      <c r="J463" t="s">
        <v>1868</v>
      </c>
    </row>
    <row r="464" spans="1:10">
      <c r="A464" s="1">
        <f>HYPERLINK("https://cms.ls-nyc.org/matter/dynamic-profile/view/1891784","19-1891784")</f>
        <v>0</v>
      </c>
      <c r="B464" t="s">
        <v>10</v>
      </c>
      <c r="C464" t="s">
        <v>30</v>
      </c>
      <c r="D464" t="s">
        <v>450</v>
      </c>
      <c r="E464" t="s">
        <v>1815</v>
      </c>
      <c r="F464" t="s">
        <v>1858</v>
      </c>
      <c r="H464" t="s">
        <v>1863</v>
      </c>
      <c r="J464" t="s">
        <v>1868</v>
      </c>
    </row>
    <row r="465" spans="1:10">
      <c r="A465" s="1">
        <f>HYPERLINK("https://cms.ls-nyc.org/matter/dynamic-profile/view/1891732","19-1891732")</f>
        <v>0</v>
      </c>
      <c r="B465" t="s">
        <v>14</v>
      </c>
      <c r="C465" t="s">
        <v>42</v>
      </c>
      <c r="D465" t="s">
        <v>451</v>
      </c>
      <c r="E465" t="s">
        <v>1833</v>
      </c>
      <c r="F465" t="s">
        <v>1853</v>
      </c>
      <c r="H465" t="s">
        <v>1863</v>
      </c>
      <c r="J465" t="s">
        <v>1869</v>
      </c>
    </row>
    <row r="466" spans="1:10">
      <c r="A466" s="1">
        <f>HYPERLINK("https://cms.ls-nyc.org/matter/dynamic-profile/view/1891762","19-1891762")</f>
        <v>0</v>
      </c>
      <c r="B466" t="s">
        <v>11</v>
      </c>
      <c r="C466" t="s">
        <v>41</v>
      </c>
      <c r="D466" t="s">
        <v>452</v>
      </c>
      <c r="G466" t="s">
        <v>1861</v>
      </c>
      <c r="J466" t="s">
        <v>1866</v>
      </c>
    </row>
    <row r="467" spans="1:10">
      <c r="A467" s="1">
        <f>HYPERLINK("https://cms.ls-nyc.org/matter/dynamic-profile/view/1891768","19-1891768")</f>
        <v>0</v>
      </c>
      <c r="B467" t="s">
        <v>12</v>
      </c>
      <c r="C467" t="s">
        <v>49</v>
      </c>
      <c r="D467" t="s">
        <v>453</v>
      </c>
      <c r="E467" t="s">
        <v>1800</v>
      </c>
      <c r="F467" t="s">
        <v>1858</v>
      </c>
      <c r="G467" t="s">
        <v>1861</v>
      </c>
      <c r="J467" t="s">
        <v>1868</v>
      </c>
    </row>
    <row r="468" spans="1:10">
      <c r="A468" s="1">
        <f>HYPERLINK("https://cms.ls-nyc.org/matter/dynamic-profile/view/1891770","19-1891770")</f>
        <v>0</v>
      </c>
      <c r="B468" t="s">
        <v>11</v>
      </c>
      <c r="C468" t="s">
        <v>41</v>
      </c>
      <c r="D468" t="s">
        <v>454</v>
      </c>
      <c r="E468" t="s">
        <v>1815</v>
      </c>
      <c r="G468" t="s">
        <v>1861</v>
      </c>
      <c r="J468" t="s">
        <v>1867</v>
      </c>
    </row>
    <row r="469" spans="1:10">
      <c r="A469" s="1">
        <f>HYPERLINK("https://cms.ls-nyc.org/matter/dynamic-profile/view/1891785","19-1891785")</f>
        <v>0</v>
      </c>
      <c r="B469" t="s">
        <v>10</v>
      </c>
      <c r="C469" t="s">
        <v>44</v>
      </c>
      <c r="D469" t="s">
        <v>455</v>
      </c>
      <c r="E469" t="s">
        <v>1810</v>
      </c>
      <c r="F469" t="s">
        <v>1856</v>
      </c>
      <c r="H469" t="s">
        <v>1863</v>
      </c>
      <c r="J469" t="s">
        <v>1866</v>
      </c>
    </row>
    <row r="470" spans="1:10">
      <c r="A470" s="1">
        <f>HYPERLINK("https://cms.ls-nyc.org/matter/dynamic-profile/view/1891828","19-1891828")</f>
        <v>0</v>
      </c>
      <c r="B470" t="s">
        <v>14</v>
      </c>
      <c r="C470" t="s">
        <v>42</v>
      </c>
      <c r="D470" t="s">
        <v>451</v>
      </c>
      <c r="E470" t="s">
        <v>1833</v>
      </c>
      <c r="F470" t="s">
        <v>1853</v>
      </c>
      <c r="H470" t="s">
        <v>1863</v>
      </c>
      <c r="J470" t="s">
        <v>1869</v>
      </c>
    </row>
    <row r="471" spans="1:10">
      <c r="A471" s="1">
        <f>HYPERLINK("https://cms.ls-nyc.org/matter/dynamic-profile/view/1891657","19-1891657")</f>
        <v>0</v>
      </c>
      <c r="B471" t="s">
        <v>15</v>
      </c>
      <c r="C471" t="s">
        <v>34</v>
      </c>
      <c r="D471" t="s">
        <v>456</v>
      </c>
      <c r="E471" t="s">
        <v>1804</v>
      </c>
      <c r="F471" t="s">
        <v>1853</v>
      </c>
      <c r="H471" t="s">
        <v>1863</v>
      </c>
      <c r="J471" t="s">
        <v>1867</v>
      </c>
    </row>
    <row r="472" spans="1:10">
      <c r="A472" s="1">
        <f>HYPERLINK("https://cms.ls-nyc.org/matter/dynamic-profile/view/1891661","19-1891661")</f>
        <v>0</v>
      </c>
      <c r="B472" t="s">
        <v>14</v>
      </c>
      <c r="C472" t="s">
        <v>25</v>
      </c>
      <c r="D472" t="s">
        <v>457</v>
      </c>
      <c r="E472" t="s">
        <v>1807</v>
      </c>
      <c r="G472" t="s">
        <v>1861</v>
      </c>
      <c r="J472" t="s">
        <v>1868</v>
      </c>
    </row>
    <row r="473" spans="1:10">
      <c r="A473" s="1">
        <f>HYPERLINK("https://cms.ls-nyc.org/matter/dynamic-profile/view/1891672","19-1891672")</f>
        <v>0</v>
      </c>
      <c r="B473" t="s">
        <v>15</v>
      </c>
      <c r="C473" t="s">
        <v>34</v>
      </c>
      <c r="D473" t="s">
        <v>458</v>
      </c>
      <c r="E473" t="s">
        <v>1804</v>
      </c>
      <c r="F473" t="s">
        <v>1853</v>
      </c>
      <c r="H473" t="s">
        <v>1863</v>
      </c>
      <c r="J473" t="s">
        <v>1867</v>
      </c>
    </row>
    <row r="474" spans="1:10">
      <c r="A474" s="1">
        <f>HYPERLINK("https://cms.ls-nyc.org/matter/dynamic-profile/view/1891668","19-1891668")</f>
        <v>0</v>
      </c>
      <c r="B474" t="s">
        <v>13</v>
      </c>
      <c r="C474" t="s">
        <v>22</v>
      </c>
      <c r="D474" t="s">
        <v>459</v>
      </c>
      <c r="E474" t="s">
        <v>1803</v>
      </c>
      <c r="F474" t="s">
        <v>1855</v>
      </c>
      <c r="H474" t="s">
        <v>1863</v>
      </c>
      <c r="I474" t="s">
        <v>1865</v>
      </c>
      <c r="J474" t="s">
        <v>1866</v>
      </c>
    </row>
    <row r="475" spans="1:10">
      <c r="A475" s="1">
        <f>HYPERLINK("https://cms.ls-nyc.org/matter/dynamic-profile/view/1891695","19-1891695")</f>
        <v>0</v>
      </c>
      <c r="B475" t="s">
        <v>15</v>
      </c>
      <c r="C475" t="s">
        <v>34</v>
      </c>
      <c r="D475" t="s">
        <v>460</v>
      </c>
      <c r="E475" t="s">
        <v>1809</v>
      </c>
      <c r="G475" t="s">
        <v>1861</v>
      </c>
      <c r="J475" t="s">
        <v>1871</v>
      </c>
    </row>
    <row r="476" spans="1:10">
      <c r="A476" s="1">
        <f>HYPERLINK("https://cms.ls-nyc.org/matter/dynamic-profile/view/1891701","19-1891701")</f>
        <v>0</v>
      </c>
      <c r="B476" t="s">
        <v>15</v>
      </c>
      <c r="C476" t="s">
        <v>34</v>
      </c>
      <c r="D476" t="s">
        <v>461</v>
      </c>
      <c r="E476" t="s">
        <v>1807</v>
      </c>
      <c r="F476" t="s">
        <v>1853</v>
      </c>
      <c r="H476" t="s">
        <v>1863</v>
      </c>
      <c r="J476" t="s">
        <v>1869</v>
      </c>
    </row>
    <row r="477" spans="1:10">
      <c r="A477" s="1">
        <f>HYPERLINK("https://cms.ls-nyc.org/matter/dynamic-profile/view/1891704","19-1891704")</f>
        <v>0</v>
      </c>
      <c r="B477" t="s">
        <v>15</v>
      </c>
      <c r="C477" t="s">
        <v>34</v>
      </c>
      <c r="D477" t="s">
        <v>462</v>
      </c>
      <c r="E477" t="s">
        <v>1807</v>
      </c>
      <c r="F477" t="s">
        <v>1853</v>
      </c>
      <c r="G477" t="s">
        <v>1861</v>
      </c>
      <c r="J477" t="s">
        <v>1869</v>
      </c>
    </row>
    <row r="478" spans="1:10">
      <c r="A478" s="1">
        <f>HYPERLINK("https://cms.ls-nyc.org/matter/dynamic-profile/view/1891721","19-1891721")</f>
        <v>0</v>
      </c>
      <c r="B478" t="s">
        <v>12</v>
      </c>
      <c r="C478" t="s">
        <v>21</v>
      </c>
      <c r="D478" t="s">
        <v>463</v>
      </c>
      <c r="E478" t="s">
        <v>1806</v>
      </c>
      <c r="F478" t="s">
        <v>1853</v>
      </c>
      <c r="H478" t="s">
        <v>1863</v>
      </c>
      <c r="J478" t="s">
        <v>1869</v>
      </c>
    </row>
    <row r="479" spans="1:10">
      <c r="A479" s="1">
        <f>HYPERLINK("https://cms.ls-nyc.org/matter/dynamic-profile/view/1891722","19-1891722")</f>
        <v>0</v>
      </c>
      <c r="B479" t="s">
        <v>12</v>
      </c>
      <c r="C479" t="s">
        <v>21</v>
      </c>
      <c r="D479" t="s">
        <v>463</v>
      </c>
      <c r="E479" t="s">
        <v>1805</v>
      </c>
      <c r="F479" t="s">
        <v>1853</v>
      </c>
      <c r="H479" t="s">
        <v>1863</v>
      </c>
      <c r="J479" t="s">
        <v>1869</v>
      </c>
    </row>
    <row r="480" spans="1:10">
      <c r="A480" s="1">
        <f>HYPERLINK("https://cms.ls-nyc.org/matter/dynamic-profile/view/1891723","19-1891723")</f>
        <v>0</v>
      </c>
      <c r="B480" t="s">
        <v>12</v>
      </c>
      <c r="C480" t="s">
        <v>21</v>
      </c>
      <c r="D480" t="s">
        <v>464</v>
      </c>
      <c r="E480" t="s">
        <v>1810</v>
      </c>
      <c r="F480" t="s">
        <v>1853</v>
      </c>
      <c r="H480" t="s">
        <v>1863</v>
      </c>
      <c r="J480" t="s">
        <v>1869</v>
      </c>
    </row>
    <row r="481" spans="1:10">
      <c r="A481" s="1">
        <f>HYPERLINK("https://cms.ls-nyc.org/matter/dynamic-profile/view/1891724","19-1891724")</f>
        <v>0</v>
      </c>
      <c r="B481" t="s">
        <v>12</v>
      </c>
      <c r="C481" t="s">
        <v>21</v>
      </c>
      <c r="D481" t="s">
        <v>464</v>
      </c>
      <c r="E481" t="s">
        <v>1805</v>
      </c>
      <c r="F481" t="s">
        <v>1853</v>
      </c>
      <c r="H481" t="s">
        <v>1863</v>
      </c>
      <c r="J481" t="s">
        <v>1869</v>
      </c>
    </row>
    <row r="482" spans="1:10">
      <c r="A482" s="1">
        <f>HYPERLINK("https://cms.ls-nyc.org/matter/dynamic-profile/view/1891725","19-1891725")</f>
        <v>0</v>
      </c>
      <c r="B482" t="s">
        <v>12</v>
      </c>
      <c r="C482" t="s">
        <v>21</v>
      </c>
      <c r="D482" t="s">
        <v>465</v>
      </c>
      <c r="E482" t="s">
        <v>1806</v>
      </c>
      <c r="F482" t="s">
        <v>1853</v>
      </c>
      <c r="H482" t="s">
        <v>1863</v>
      </c>
      <c r="J482" t="s">
        <v>1869</v>
      </c>
    </row>
    <row r="483" spans="1:10">
      <c r="A483" s="1">
        <f>HYPERLINK("https://cms.ls-nyc.org/matter/dynamic-profile/view/1891726","19-1891726")</f>
        <v>0</v>
      </c>
      <c r="B483" t="s">
        <v>12</v>
      </c>
      <c r="C483" t="s">
        <v>21</v>
      </c>
      <c r="D483" t="s">
        <v>465</v>
      </c>
      <c r="E483" t="s">
        <v>1805</v>
      </c>
      <c r="F483" t="s">
        <v>1853</v>
      </c>
      <c r="H483" t="s">
        <v>1863</v>
      </c>
      <c r="J483" t="s">
        <v>1869</v>
      </c>
    </row>
    <row r="484" spans="1:10">
      <c r="A484" s="1">
        <f>HYPERLINK("https://cms.ls-nyc.org/matter/dynamic-profile/view/1891427","19-1891427")</f>
        <v>0</v>
      </c>
      <c r="B484" t="s">
        <v>13</v>
      </c>
      <c r="C484" t="s">
        <v>24</v>
      </c>
      <c r="D484" t="s">
        <v>466</v>
      </c>
      <c r="E484" t="s">
        <v>1811</v>
      </c>
      <c r="F484" t="s">
        <v>1853</v>
      </c>
      <c r="H484" t="s">
        <v>1863</v>
      </c>
      <c r="J484" t="s">
        <v>1866</v>
      </c>
    </row>
    <row r="485" spans="1:10">
      <c r="A485" s="1">
        <f>HYPERLINK("https://cms.ls-nyc.org/matter/dynamic-profile/view/1889375","19-1889375")</f>
        <v>0</v>
      </c>
      <c r="B485" t="s">
        <v>13</v>
      </c>
      <c r="C485" t="s">
        <v>22</v>
      </c>
      <c r="D485" t="s">
        <v>467</v>
      </c>
      <c r="E485" t="s">
        <v>1821</v>
      </c>
      <c r="F485" t="s">
        <v>1853</v>
      </c>
      <c r="H485" t="s">
        <v>1863</v>
      </c>
      <c r="J485" t="s">
        <v>1867</v>
      </c>
    </row>
    <row r="486" spans="1:10">
      <c r="A486" s="1">
        <f>HYPERLINK("https://cms.ls-nyc.org/matter/dynamic-profile/view/1891428","19-1891428")</f>
        <v>0</v>
      </c>
      <c r="B486" t="s">
        <v>15</v>
      </c>
      <c r="C486" t="s">
        <v>35</v>
      </c>
      <c r="D486" t="s">
        <v>424</v>
      </c>
      <c r="E486" t="s">
        <v>1807</v>
      </c>
      <c r="F486" t="s">
        <v>1853</v>
      </c>
      <c r="H486" t="s">
        <v>1863</v>
      </c>
      <c r="J486" t="s">
        <v>1869</v>
      </c>
    </row>
    <row r="487" spans="1:10">
      <c r="A487" s="1">
        <f>HYPERLINK("https://cms.ls-nyc.org/matter/dynamic-profile/view/1891429","19-1891429")</f>
        <v>0</v>
      </c>
      <c r="B487" t="s">
        <v>10</v>
      </c>
      <c r="C487" t="s">
        <v>16</v>
      </c>
      <c r="D487" t="s">
        <v>468</v>
      </c>
      <c r="E487" t="s">
        <v>1799</v>
      </c>
      <c r="F487" t="s">
        <v>1853</v>
      </c>
      <c r="H487" t="s">
        <v>1863</v>
      </c>
      <c r="J487" t="s">
        <v>1869</v>
      </c>
    </row>
    <row r="488" spans="1:10">
      <c r="A488" s="1">
        <f>HYPERLINK("https://cms.ls-nyc.org/matter/dynamic-profile/view/1891437","19-1891437")</f>
        <v>0</v>
      </c>
      <c r="B488" t="s">
        <v>10</v>
      </c>
      <c r="C488" t="s">
        <v>16</v>
      </c>
      <c r="D488" t="s">
        <v>468</v>
      </c>
      <c r="E488" t="s">
        <v>1800</v>
      </c>
      <c r="F488" t="s">
        <v>1853</v>
      </c>
      <c r="H488" t="s">
        <v>1863</v>
      </c>
      <c r="J488" t="s">
        <v>1869</v>
      </c>
    </row>
    <row r="489" spans="1:10">
      <c r="A489" s="1">
        <f>HYPERLINK("https://cms.ls-nyc.org/matter/dynamic-profile/view/1891450","19-1891450")</f>
        <v>0</v>
      </c>
      <c r="B489" t="s">
        <v>10</v>
      </c>
      <c r="C489" t="s">
        <v>16</v>
      </c>
      <c r="D489" t="s">
        <v>469</v>
      </c>
      <c r="E489" t="s">
        <v>1804</v>
      </c>
      <c r="F489" t="s">
        <v>1853</v>
      </c>
      <c r="H489" t="s">
        <v>1863</v>
      </c>
      <c r="J489" t="s">
        <v>1867</v>
      </c>
    </row>
    <row r="490" spans="1:10">
      <c r="A490" s="1">
        <f>HYPERLINK("https://cms.ls-nyc.org/matter/dynamic-profile/view/1891459","19-1891459")</f>
        <v>0</v>
      </c>
      <c r="B490" t="s">
        <v>11</v>
      </c>
      <c r="C490" t="s">
        <v>32</v>
      </c>
      <c r="D490" t="s">
        <v>470</v>
      </c>
      <c r="E490" t="s">
        <v>1804</v>
      </c>
      <c r="F490" t="s">
        <v>1853</v>
      </c>
      <c r="H490" t="s">
        <v>1863</v>
      </c>
      <c r="J490" t="s">
        <v>1867</v>
      </c>
    </row>
    <row r="491" spans="1:10">
      <c r="A491" s="1">
        <f>HYPERLINK("https://cms.ls-nyc.org/matter/dynamic-profile/view/1891474","19-1891474")</f>
        <v>0</v>
      </c>
      <c r="B491" t="s">
        <v>10</v>
      </c>
      <c r="C491" t="s">
        <v>16</v>
      </c>
      <c r="D491" t="s">
        <v>471</v>
      </c>
      <c r="E491" t="s">
        <v>1816</v>
      </c>
      <c r="F491" t="s">
        <v>1853</v>
      </c>
      <c r="H491" t="s">
        <v>1863</v>
      </c>
      <c r="J491" t="s">
        <v>1867</v>
      </c>
    </row>
    <row r="492" spans="1:10">
      <c r="A492" s="1">
        <f>HYPERLINK("https://cms.ls-nyc.org/matter/dynamic-profile/view/1891538","19-1891538")</f>
        <v>0</v>
      </c>
      <c r="B492" t="s">
        <v>10</v>
      </c>
      <c r="C492" t="s">
        <v>44</v>
      </c>
      <c r="D492" t="s">
        <v>472</v>
      </c>
      <c r="E492" t="s">
        <v>1810</v>
      </c>
      <c r="F492" t="s">
        <v>1856</v>
      </c>
      <c r="H492" t="s">
        <v>1863</v>
      </c>
      <c r="J492" t="s">
        <v>1866</v>
      </c>
    </row>
    <row r="493" spans="1:10">
      <c r="A493" s="1">
        <f>HYPERLINK("https://cms.ls-nyc.org/matter/dynamic-profile/view/1891380","19-1891380")</f>
        <v>0</v>
      </c>
      <c r="B493" t="s">
        <v>10</v>
      </c>
      <c r="C493" t="s">
        <v>17</v>
      </c>
      <c r="D493" t="s">
        <v>473</v>
      </c>
      <c r="E493" t="s">
        <v>1799</v>
      </c>
      <c r="F493" t="s">
        <v>1853</v>
      </c>
      <c r="H493" t="s">
        <v>1863</v>
      </c>
      <c r="J493" t="s">
        <v>1867</v>
      </c>
    </row>
    <row r="494" spans="1:10">
      <c r="A494" s="1">
        <f>HYPERLINK("https://cms.ls-nyc.org/matter/dynamic-profile/view/1891386","19-1891386")</f>
        <v>0</v>
      </c>
      <c r="B494" t="s">
        <v>11</v>
      </c>
      <c r="C494" t="s">
        <v>37</v>
      </c>
      <c r="D494" t="s">
        <v>474</v>
      </c>
      <c r="E494" t="s">
        <v>1802</v>
      </c>
      <c r="F494" t="s">
        <v>1855</v>
      </c>
      <c r="H494" t="s">
        <v>1863</v>
      </c>
      <c r="J494" t="s">
        <v>1869</v>
      </c>
    </row>
    <row r="495" spans="1:10">
      <c r="A495" s="1">
        <f>HYPERLINK("https://cms.ls-nyc.org/matter/dynamic-profile/view/1891162","19-1891162")</f>
        <v>0</v>
      </c>
      <c r="B495" t="s">
        <v>14</v>
      </c>
      <c r="C495" t="s">
        <v>28</v>
      </c>
      <c r="D495" t="s">
        <v>475</v>
      </c>
      <c r="E495" t="s">
        <v>1821</v>
      </c>
      <c r="F495" t="s">
        <v>1858</v>
      </c>
      <c r="G495" t="s">
        <v>1861</v>
      </c>
      <c r="H495" t="s">
        <v>1864</v>
      </c>
      <c r="I495" t="s">
        <v>1865</v>
      </c>
      <c r="J495" t="s">
        <v>1866</v>
      </c>
    </row>
    <row r="496" spans="1:10">
      <c r="A496" s="1">
        <f>HYPERLINK("https://cms.ls-nyc.org/matter/dynamic-profile/view/1891231","19-1891231")</f>
        <v>0</v>
      </c>
      <c r="B496" t="s">
        <v>14</v>
      </c>
      <c r="C496" t="s">
        <v>28</v>
      </c>
      <c r="D496" t="s">
        <v>370</v>
      </c>
      <c r="E496" t="s">
        <v>1800</v>
      </c>
      <c r="F496" t="s">
        <v>1859</v>
      </c>
      <c r="H496" t="s">
        <v>1863</v>
      </c>
      <c r="J496" t="s">
        <v>1868</v>
      </c>
    </row>
    <row r="497" spans="1:10">
      <c r="A497" s="1">
        <f>HYPERLINK("https://cms.ls-nyc.org/matter/dynamic-profile/view/1891255","19-1891255")</f>
        <v>0</v>
      </c>
      <c r="B497" t="s">
        <v>14</v>
      </c>
      <c r="C497" t="s">
        <v>28</v>
      </c>
      <c r="D497" t="s">
        <v>371</v>
      </c>
      <c r="E497" t="s">
        <v>1800</v>
      </c>
      <c r="F497" t="s">
        <v>1859</v>
      </c>
      <c r="H497" t="s">
        <v>1863</v>
      </c>
      <c r="J497" t="s">
        <v>1868</v>
      </c>
    </row>
    <row r="498" spans="1:10">
      <c r="A498" s="1">
        <f>HYPERLINK("https://cms.ls-nyc.org/matter/dynamic-profile/view/1891169","19-1891169")</f>
        <v>0</v>
      </c>
      <c r="B498" t="s">
        <v>12</v>
      </c>
      <c r="C498" t="s">
        <v>49</v>
      </c>
      <c r="D498" t="s">
        <v>476</v>
      </c>
      <c r="E498" t="s">
        <v>1815</v>
      </c>
      <c r="F498" t="s">
        <v>1853</v>
      </c>
      <c r="H498" t="s">
        <v>1863</v>
      </c>
      <c r="I498" t="s">
        <v>1865</v>
      </c>
      <c r="J498" t="s">
        <v>1866</v>
      </c>
    </row>
    <row r="499" spans="1:10">
      <c r="A499" s="1">
        <f>HYPERLINK("https://cms.ls-nyc.org/matter/dynamic-profile/view/1891181","19-1891181")</f>
        <v>0</v>
      </c>
      <c r="B499" t="s">
        <v>10</v>
      </c>
      <c r="C499" t="s">
        <v>16</v>
      </c>
      <c r="D499" t="s">
        <v>477</v>
      </c>
      <c r="E499" t="s">
        <v>1815</v>
      </c>
      <c r="F499" t="s">
        <v>1853</v>
      </c>
      <c r="H499" t="s">
        <v>1863</v>
      </c>
      <c r="J499" t="s">
        <v>1867</v>
      </c>
    </row>
    <row r="500" spans="1:10">
      <c r="A500" s="1">
        <f>HYPERLINK("https://cms.ls-nyc.org/matter/dynamic-profile/view/1891187","19-1891187")</f>
        <v>0</v>
      </c>
      <c r="B500" t="s">
        <v>14</v>
      </c>
      <c r="C500" t="s">
        <v>28</v>
      </c>
      <c r="D500" t="s">
        <v>478</v>
      </c>
      <c r="E500" t="s">
        <v>1834</v>
      </c>
      <c r="F500" t="s">
        <v>1857</v>
      </c>
      <c r="H500" t="s">
        <v>1863</v>
      </c>
      <c r="J500" t="s">
        <v>1867</v>
      </c>
    </row>
    <row r="501" spans="1:10">
      <c r="A501" s="1">
        <f>HYPERLINK("https://cms.ls-nyc.org/matter/dynamic-profile/view/1891263","19-1891263")</f>
        <v>0</v>
      </c>
      <c r="B501" t="s">
        <v>10</v>
      </c>
      <c r="C501" t="s">
        <v>30</v>
      </c>
      <c r="D501" t="s">
        <v>479</v>
      </c>
      <c r="E501" t="s">
        <v>1810</v>
      </c>
      <c r="F501" t="s">
        <v>1856</v>
      </c>
      <c r="H501" t="s">
        <v>1863</v>
      </c>
      <c r="J501" t="s">
        <v>1866</v>
      </c>
    </row>
    <row r="502" spans="1:10">
      <c r="A502" s="1">
        <f>HYPERLINK("https://cms.ls-nyc.org/matter/dynamic-profile/view/1891016","19-1891016")</f>
        <v>0</v>
      </c>
      <c r="B502" t="s">
        <v>10</v>
      </c>
      <c r="C502" t="s">
        <v>44</v>
      </c>
      <c r="D502" t="s">
        <v>480</v>
      </c>
      <c r="E502" t="s">
        <v>1810</v>
      </c>
      <c r="F502" t="s">
        <v>1858</v>
      </c>
      <c r="H502" t="s">
        <v>1863</v>
      </c>
      <c r="J502" t="s">
        <v>1868</v>
      </c>
    </row>
    <row r="503" spans="1:10">
      <c r="A503" s="1">
        <f>HYPERLINK("https://cms.ls-nyc.org/matter/dynamic-profile/view/1890996","19-1890996")</f>
        <v>0</v>
      </c>
      <c r="B503" t="s">
        <v>15</v>
      </c>
      <c r="C503" t="s">
        <v>34</v>
      </c>
      <c r="D503" t="s">
        <v>481</v>
      </c>
      <c r="E503" t="s">
        <v>1804</v>
      </c>
      <c r="F503" t="s">
        <v>1853</v>
      </c>
      <c r="H503" t="s">
        <v>1863</v>
      </c>
      <c r="J503" t="s">
        <v>1869</v>
      </c>
    </row>
    <row r="504" spans="1:10">
      <c r="A504" s="1">
        <f>HYPERLINK("https://cms.ls-nyc.org/matter/dynamic-profile/view/1891012","19-1891012")</f>
        <v>0</v>
      </c>
      <c r="B504" t="s">
        <v>11</v>
      </c>
      <c r="C504" t="s">
        <v>18</v>
      </c>
      <c r="D504" t="s">
        <v>482</v>
      </c>
      <c r="E504" t="s">
        <v>1809</v>
      </c>
      <c r="G504" t="s">
        <v>1861</v>
      </c>
      <c r="I504" t="s">
        <v>1865</v>
      </c>
      <c r="J504" t="s">
        <v>1866</v>
      </c>
    </row>
    <row r="505" spans="1:10">
      <c r="A505" s="1">
        <f>HYPERLINK("https://cms.ls-nyc.org/matter/dynamic-profile/view/1891080","19-1891080")</f>
        <v>0</v>
      </c>
      <c r="B505" t="s">
        <v>10</v>
      </c>
      <c r="C505" t="s">
        <v>44</v>
      </c>
      <c r="D505" t="s">
        <v>483</v>
      </c>
      <c r="F505" t="s">
        <v>1856</v>
      </c>
      <c r="H505" t="s">
        <v>1863</v>
      </c>
      <c r="J505" t="s">
        <v>1866</v>
      </c>
    </row>
    <row r="506" spans="1:10">
      <c r="A506" s="1">
        <f>HYPERLINK("https://cms.ls-nyc.org/matter/dynamic-profile/view/1891129","19-1891129")</f>
        <v>0</v>
      </c>
      <c r="B506" t="s">
        <v>10</v>
      </c>
      <c r="C506" t="s">
        <v>16</v>
      </c>
      <c r="D506" t="s">
        <v>484</v>
      </c>
      <c r="E506" t="s">
        <v>1807</v>
      </c>
      <c r="F506" t="s">
        <v>1853</v>
      </c>
      <c r="H506" t="s">
        <v>1863</v>
      </c>
      <c r="J506" t="s">
        <v>1869</v>
      </c>
    </row>
    <row r="507" spans="1:10">
      <c r="A507" s="1">
        <f>HYPERLINK("https://cms.ls-nyc.org/matter/dynamic-profile/view/1891130","19-1891130")</f>
        <v>0</v>
      </c>
      <c r="B507" t="s">
        <v>10</v>
      </c>
      <c r="C507" t="s">
        <v>16</v>
      </c>
      <c r="D507" t="s">
        <v>485</v>
      </c>
      <c r="E507" t="s">
        <v>1807</v>
      </c>
      <c r="F507" t="s">
        <v>1853</v>
      </c>
      <c r="H507" t="s">
        <v>1863</v>
      </c>
      <c r="J507" t="s">
        <v>1869</v>
      </c>
    </row>
    <row r="508" spans="1:10">
      <c r="A508" s="1">
        <f>HYPERLINK("https://cms.ls-nyc.org/matter/dynamic-profile/view/1890859","19-1890859")</f>
        <v>0</v>
      </c>
      <c r="B508" t="s">
        <v>14</v>
      </c>
      <c r="C508" t="s">
        <v>31</v>
      </c>
      <c r="D508" t="s">
        <v>444</v>
      </c>
      <c r="E508" t="s">
        <v>1815</v>
      </c>
      <c r="F508" t="s">
        <v>1859</v>
      </c>
      <c r="H508" t="s">
        <v>1863</v>
      </c>
      <c r="J508" t="s">
        <v>1868</v>
      </c>
    </row>
    <row r="509" spans="1:10">
      <c r="A509" s="1">
        <f>HYPERLINK("https://cms.ls-nyc.org/matter/dynamic-profile/view/1890873","19-1890873")</f>
        <v>0</v>
      </c>
      <c r="B509" t="s">
        <v>11</v>
      </c>
      <c r="C509" t="s">
        <v>37</v>
      </c>
      <c r="D509" t="s">
        <v>486</v>
      </c>
      <c r="E509" t="s">
        <v>1803</v>
      </c>
      <c r="F509" t="s">
        <v>1855</v>
      </c>
      <c r="H509" t="s">
        <v>1863</v>
      </c>
      <c r="J509" t="s">
        <v>1871</v>
      </c>
    </row>
    <row r="510" spans="1:10">
      <c r="A510" s="1">
        <f>HYPERLINK("https://cms.ls-nyc.org/matter/dynamic-profile/view/1891337","19-1891337")</f>
        <v>0</v>
      </c>
      <c r="B510" t="s">
        <v>13</v>
      </c>
      <c r="C510" t="s">
        <v>43</v>
      </c>
      <c r="D510" t="s">
        <v>487</v>
      </c>
      <c r="E510" t="s">
        <v>1821</v>
      </c>
      <c r="F510" t="s">
        <v>1853</v>
      </c>
      <c r="H510" t="s">
        <v>1863</v>
      </c>
      <c r="I510" t="s">
        <v>1865</v>
      </c>
      <c r="J510" t="s">
        <v>1866</v>
      </c>
    </row>
    <row r="511" spans="1:10">
      <c r="A511" s="1">
        <f>HYPERLINK("https://cms.ls-nyc.org/matter/dynamic-profile/view/1890696","19-1890696")</f>
        <v>0</v>
      </c>
      <c r="B511" t="s">
        <v>10</v>
      </c>
      <c r="C511" t="s">
        <v>30</v>
      </c>
      <c r="D511" t="s">
        <v>488</v>
      </c>
      <c r="E511" t="s">
        <v>1807</v>
      </c>
      <c r="F511" t="s">
        <v>1858</v>
      </c>
      <c r="H511" t="s">
        <v>1863</v>
      </c>
      <c r="J511" t="s">
        <v>1868</v>
      </c>
    </row>
    <row r="512" spans="1:10">
      <c r="A512" s="1">
        <f>HYPERLINK("https://cms.ls-nyc.org/matter/dynamic-profile/view/1886911","19-1886911")</f>
        <v>0</v>
      </c>
      <c r="B512" t="s">
        <v>13</v>
      </c>
      <c r="C512" t="s">
        <v>43</v>
      </c>
      <c r="D512" t="s">
        <v>489</v>
      </c>
      <c r="E512" t="s">
        <v>1803</v>
      </c>
      <c r="F512" t="s">
        <v>1855</v>
      </c>
      <c r="H512" t="s">
        <v>1863</v>
      </c>
      <c r="J512" t="s">
        <v>1871</v>
      </c>
    </row>
    <row r="513" spans="1:10">
      <c r="A513" s="1">
        <f>HYPERLINK("https://cms.ls-nyc.org/matter/dynamic-profile/view/1890642","19-1890642")</f>
        <v>0</v>
      </c>
      <c r="B513" t="s">
        <v>10</v>
      </c>
      <c r="C513" t="s">
        <v>30</v>
      </c>
      <c r="D513" t="s">
        <v>490</v>
      </c>
      <c r="E513" t="s">
        <v>1807</v>
      </c>
      <c r="F513" t="s">
        <v>1853</v>
      </c>
      <c r="H513" t="s">
        <v>1863</v>
      </c>
      <c r="J513" t="s">
        <v>1869</v>
      </c>
    </row>
    <row r="514" spans="1:10">
      <c r="A514" s="1">
        <f>HYPERLINK("https://cms.ls-nyc.org/matter/dynamic-profile/view/1891342","19-1891342")</f>
        <v>0</v>
      </c>
      <c r="B514" t="s">
        <v>11</v>
      </c>
      <c r="C514" t="s">
        <v>18</v>
      </c>
      <c r="D514" t="s">
        <v>159</v>
      </c>
      <c r="E514" t="s">
        <v>1809</v>
      </c>
      <c r="F514" t="s">
        <v>1855</v>
      </c>
      <c r="H514" t="s">
        <v>1863</v>
      </c>
      <c r="J514" t="s">
        <v>1870</v>
      </c>
    </row>
    <row r="515" spans="1:10">
      <c r="A515" s="1">
        <f>HYPERLINK("https://cms.ls-nyc.org/matter/dynamic-profile/view/1890385","19-1890385")</f>
        <v>0</v>
      </c>
      <c r="B515" t="s">
        <v>13</v>
      </c>
      <c r="C515" t="s">
        <v>24</v>
      </c>
      <c r="D515" t="s">
        <v>491</v>
      </c>
      <c r="F515" t="s">
        <v>1858</v>
      </c>
      <c r="G515" t="s">
        <v>1861</v>
      </c>
      <c r="H515" t="s">
        <v>1864</v>
      </c>
      <c r="J515" t="s">
        <v>1868</v>
      </c>
    </row>
    <row r="516" spans="1:10">
      <c r="A516" s="1">
        <f>HYPERLINK("https://cms.ls-nyc.org/matter/dynamic-profile/view/1890578","19-1890578")</f>
        <v>0</v>
      </c>
      <c r="B516" t="s">
        <v>12</v>
      </c>
      <c r="C516" t="s">
        <v>49</v>
      </c>
      <c r="D516" t="s">
        <v>492</v>
      </c>
      <c r="F516" t="s">
        <v>1858</v>
      </c>
      <c r="H516" t="s">
        <v>1863</v>
      </c>
      <c r="J516" t="s">
        <v>1868</v>
      </c>
    </row>
    <row r="517" spans="1:10">
      <c r="A517" s="1">
        <f>HYPERLINK("https://cms.ls-nyc.org/matter/dynamic-profile/view/1890393","19-1890393")</f>
        <v>0</v>
      </c>
      <c r="B517" t="s">
        <v>14</v>
      </c>
      <c r="C517" t="s">
        <v>31</v>
      </c>
      <c r="D517" t="s">
        <v>493</v>
      </c>
      <c r="E517" t="s">
        <v>1799</v>
      </c>
      <c r="F517" t="s">
        <v>1853</v>
      </c>
      <c r="G517" t="s">
        <v>1861</v>
      </c>
      <c r="H517" t="s">
        <v>1864</v>
      </c>
      <c r="J517" t="s">
        <v>1869</v>
      </c>
    </row>
    <row r="518" spans="1:10">
      <c r="A518" s="1">
        <f>HYPERLINK("https://cms.ls-nyc.org/matter/dynamic-profile/view/1890450","19-1890450")</f>
        <v>0</v>
      </c>
      <c r="B518" t="s">
        <v>14</v>
      </c>
      <c r="C518" t="s">
        <v>31</v>
      </c>
      <c r="D518" t="s">
        <v>119</v>
      </c>
      <c r="E518" t="s">
        <v>1803</v>
      </c>
      <c r="F518" t="s">
        <v>1855</v>
      </c>
      <c r="H518" t="s">
        <v>1863</v>
      </c>
      <c r="J518" t="s">
        <v>1871</v>
      </c>
    </row>
    <row r="519" spans="1:10">
      <c r="A519" s="1">
        <f>HYPERLINK("https://cms.ls-nyc.org/matter/dynamic-profile/view/1890469","19-1890469")</f>
        <v>0</v>
      </c>
      <c r="B519" t="s">
        <v>11</v>
      </c>
      <c r="C519" t="s">
        <v>32</v>
      </c>
      <c r="D519" t="s">
        <v>494</v>
      </c>
      <c r="E519" t="s">
        <v>1809</v>
      </c>
      <c r="G519" t="s">
        <v>1861</v>
      </c>
      <c r="J519" t="s">
        <v>1870</v>
      </c>
    </row>
    <row r="520" spans="1:10">
      <c r="A520" s="1">
        <f>HYPERLINK("https://cms.ls-nyc.org/matter/dynamic-profile/view/1890484","19-1890484")</f>
        <v>0</v>
      </c>
      <c r="B520" t="s">
        <v>14</v>
      </c>
      <c r="C520" t="s">
        <v>31</v>
      </c>
      <c r="D520" t="s">
        <v>493</v>
      </c>
      <c r="E520" t="s">
        <v>1815</v>
      </c>
      <c r="F520" t="s">
        <v>1853</v>
      </c>
      <c r="G520" t="s">
        <v>1861</v>
      </c>
      <c r="H520" t="s">
        <v>1864</v>
      </c>
      <c r="J520" t="s">
        <v>1869</v>
      </c>
    </row>
    <row r="521" spans="1:10">
      <c r="A521" s="1">
        <f>HYPERLINK("https://cms.ls-nyc.org/matter/dynamic-profile/view/1889452","19-1889452")</f>
        <v>0</v>
      </c>
      <c r="B521" t="s">
        <v>11</v>
      </c>
      <c r="C521" t="s">
        <v>36</v>
      </c>
      <c r="D521" t="s">
        <v>372</v>
      </c>
      <c r="E521" t="s">
        <v>1809</v>
      </c>
      <c r="F521" t="s">
        <v>1855</v>
      </c>
      <c r="H521" t="s">
        <v>1863</v>
      </c>
      <c r="J521" t="s">
        <v>1870</v>
      </c>
    </row>
    <row r="522" spans="1:10">
      <c r="A522" s="1">
        <f>HYPERLINK("https://cms.ls-nyc.org/matter/dynamic-profile/view/1890224","19-1890224")</f>
        <v>0</v>
      </c>
      <c r="B522" t="s">
        <v>12</v>
      </c>
      <c r="C522" t="s">
        <v>21</v>
      </c>
      <c r="D522" t="s">
        <v>495</v>
      </c>
      <c r="E522" t="s">
        <v>1809</v>
      </c>
      <c r="F522" t="s">
        <v>1855</v>
      </c>
      <c r="H522" t="s">
        <v>1863</v>
      </c>
      <c r="J522" t="s">
        <v>1871</v>
      </c>
    </row>
    <row r="523" spans="1:10">
      <c r="A523" s="1">
        <f>HYPERLINK("https://cms.ls-nyc.org/matter/dynamic-profile/view/1890244","19-1890244")</f>
        <v>0</v>
      </c>
      <c r="B523" t="s">
        <v>15</v>
      </c>
      <c r="C523" t="s">
        <v>35</v>
      </c>
      <c r="D523" t="s">
        <v>496</v>
      </c>
      <c r="E523" t="s">
        <v>1803</v>
      </c>
      <c r="F523" t="s">
        <v>1855</v>
      </c>
      <c r="H523" t="s">
        <v>1863</v>
      </c>
      <c r="J523" t="s">
        <v>1871</v>
      </c>
    </row>
    <row r="524" spans="1:10">
      <c r="A524" s="1">
        <f>HYPERLINK("https://cms.ls-nyc.org/matter/dynamic-profile/view/1890248","19-1890248")</f>
        <v>0</v>
      </c>
      <c r="B524" t="s">
        <v>15</v>
      </c>
      <c r="C524" t="s">
        <v>35</v>
      </c>
      <c r="D524" t="s">
        <v>496</v>
      </c>
      <c r="E524" t="s">
        <v>1808</v>
      </c>
      <c r="F524" t="s">
        <v>1857</v>
      </c>
      <c r="H524" t="s">
        <v>1863</v>
      </c>
      <c r="J524" t="s">
        <v>1867</v>
      </c>
    </row>
    <row r="525" spans="1:10">
      <c r="A525" s="1">
        <f>HYPERLINK("https://cms.ls-nyc.org/matter/dynamic-profile/view/1890294","19-1890294")</f>
        <v>0</v>
      </c>
      <c r="B525" t="s">
        <v>10</v>
      </c>
      <c r="C525" t="s">
        <v>44</v>
      </c>
      <c r="D525" t="s">
        <v>497</v>
      </c>
      <c r="F525" t="s">
        <v>1856</v>
      </c>
      <c r="G525" t="s">
        <v>1861</v>
      </c>
      <c r="J525" t="s">
        <v>1866</v>
      </c>
    </row>
    <row r="526" spans="1:10">
      <c r="A526" s="1">
        <f>HYPERLINK("https://cms.ls-nyc.org/matter/dynamic-profile/view/1890321","19-1890321")</f>
        <v>0</v>
      </c>
      <c r="B526" t="s">
        <v>15</v>
      </c>
      <c r="C526" t="s">
        <v>35</v>
      </c>
      <c r="D526" t="s">
        <v>498</v>
      </c>
      <c r="E526" t="s">
        <v>1803</v>
      </c>
      <c r="F526" t="s">
        <v>1855</v>
      </c>
      <c r="H526" t="s">
        <v>1863</v>
      </c>
      <c r="J526" t="s">
        <v>1870</v>
      </c>
    </row>
    <row r="527" spans="1:10">
      <c r="A527" s="1">
        <f>HYPERLINK("https://cms.ls-nyc.org/matter/dynamic-profile/view/1890326","19-1890326")</f>
        <v>0</v>
      </c>
      <c r="B527" t="s">
        <v>15</v>
      </c>
      <c r="C527" t="s">
        <v>35</v>
      </c>
      <c r="D527" t="s">
        <v>498</v>
      </c>
      <c r="E527" t="s">
        <v>1802</v>
      </c>
      <c r="F527" t="s">
        <v>1853</v>
      </c>
      <c r="H527" t="s">
        <v>1863</v>
      </c>
      <c r="J527" t="s">
        <v>1869</v>
      </c>
    </row>
    <row r="528" spans="1:10">
      <c r="A528" s="1">
        <f>HYPERLINK("https://cms.ls-nyc.org/matter/dynamic-profile/view/1890085","19-1890085")</f>
        <v>0</v>
      </c>
      <c r="B528" t="s">
        <v>14</v>
      </c>
      <c r="C528" t="s">
        <v>31</v>
      </c>
      <c r="D528" t="s">
        <v>493</v>
      </c>
      <c r="E528" t="s">
        <v>1800</v>
      </c>
      <c r="F528" t="s">
        <v>1858</v>
      </c>
      <c r="G528" t="s">
        <v>1861</v>
      </c>
      <c r="H528" t="s">
        <v>1864</v>
      </c>
      <c r="J528" t="s">
        <v>1868</v>
      </c>
    </row>
    <row r="529" spans="1:10">
      <c r="A529" s="1">
        <f>HYPERLINK("https://cms.ls-nyc.org/matter/dynamic-profile/view/1890089","19-1890089")</f>
        <v>0</v>
      </c>
      <c r="B529" t="s">
        <v>10</v>
      </c>
      <c r="C529" t="s">
        <v>30</v>
      </c>
      <c r="D529" t="s">
        <v>499</v>
      </c>
      <c r="F529" t="s">
        <v>1856</v>
      </c>
      <c r="G529" t="s">
        <v>1861</v>
      </c>
      <c r="J529" t="s">
        <v>1866</v>
      </c>
    </row>
    <row r="530" spans="1:10">
      <c r="A530" s="1">
        <f>HYPERLINK("https://cms.ls-nyc.org/matter/dynamic-profile/view/1890110","19-1890110")</f>
        <v>0</v>
      </c>
      <c r="B530" t="s">
        <v>12</v>
      </c>
      <c r="C530" t="s">
        <v>20</v>
      </c>
      <c r="D530" t="s">
        <v>500</v>
      </c>
      <c r="E530" t="s">
        <v>1809</v>
      </c>
      <c r="F530" t="s">
        <v>1855</v>
      </c>
      <c r="H530" t="s">
        <v>1863</v>
      </c>
      <c r="J530" t="s">
        <v>1869</v>
      </c>
    </row>
    <row r="531" spans="1:10">
      <c r="A531" s="1">
        <f>HYPERLINK("https://cms.ls-nyc.org/matter/dynamic-profile/view/1890126","19-1890126")</f>
        <v>0</v>
      </c>
      <c r="B531" t="s">
        <v>15</v>
      </c>
      <c r="C531" t="s">
        <v>47</v>
      </c>
      <c r="D531" t="s">
        <v>501</v>
      </c>
      <c r="E531" t="s">
        <v>1802</v>
      </c>
      <c r="G531" t="s">
        <v>1861</v>
      </c>
      <c r="J531" t="s">
        <v>1869</v>
      </c>
    </row>
    <row r="532" spans="1:10">
      <c r="A532" s="1">
        <f>HYPERLINK("https://cms.ls-nyc.org/matter/dynamic-profile/view/1890129","19-1890129")</f>
        <v>0</v>
      </c>
      <c r="B532" t="s">
        <v>15</v>
      </c>
      <c r="C532" t="s">
        <v>47</v>
      </c>
      <c r="D532" t="s">
        <v>502</v>
      </c>
      <c r="E532" t="s">
        <v>1802</v>
      </c>
      <c r="G532" t="s">
        <v>1861</v>
      </c>
      <c r="J532" t="s">
        <v>1869</v>
      </c>
    </row>
    <row r="533" spans="1:10">
      <c r="A533" s="1">
        <f>HYPERLINK("https://cms.ls-nyc.org/matter/dynamic-profile/view/1890149","19-1890149")</f>
        <v>0</v>
      </c>
      <c r="B533" t="s">
        <v>14</v>
      </c>
      <c r="C533" t="s">
        <v>31</v>
      </c>
      <c r="D533" t="s">
        <v>444</v>
      </c>
      <c r="E533" t="s">
        <v>1800</v>
      </c>
      <c r="F533" t="s">
        <v>1853</v>
      </c>
      <c r="H533" t="s">
        <v>1863</v>
      </c>
      <c r="J533" t="s">
        <v>1867</v>
      </c>
    </row>
    <row r="534" spans="1:10">
      <c r="A534" s="1">
        <f>HYPERLINK("https://cms.ls-nyc.org/matter/dynamic-profile/view/1890316","19-1890316")</f>
        <v>0</v>
      </c>
      <c r="B534" t="s">
        <v>14</v>
      </c>
      <c r="C534" t="s">
        <v>31</v>
      </c>
      <c r="D534" t="s">
        <v>439</v>
      </c>
      <c r="E534" t="s">
        <v>1800</v>
      </c>
      <c r="F534" t="s">
        <v>1853</v>
      </c>
      <c r="H534" t="s">
        <v>1863</v>
      </c>
      <c r="J534" t="s">
        <v>1867</v>
      </c>
    </row>
    <row r="535" spans="1:10">
      <c r="A535" s="1">
        <f>HYPERLINK("https://cms.ls-nyc.org/matter/dynamic-profile/view/1890027","19-1890027")</f>
        <v>0</v>
      </c>
      <c r="B535" t="s">
        <v>14</v>
      </c>
      <c r="C535" t="s">
        <v>31</v>
      </c>
      <c r="D535" t="s">
        <v>503</v>
      </c>
      <c r="E535" t="s">
        <v>1809</v>
      </c>
      <c r="F535" t="s">
        <v>1858</v>
      </c>
      <c r="G535" t="s">
        <v>1861</v>
      </c>
      <c r="H535" t="s">
        <v>1864</v>
      </c>
      <c r="J535" t="s">
        <v>1868</v>
      </c>
    </row>
    <row r="536" spans="1:10">
      <c r="A536" s="1">
        <f>HYPERLINK("https://cms.ls-nyc.org/matter/dynamic-profile/view/1889880","19-1889880")</f>
        <v>0</v>
      </c>
      <c r="B536" t="s">
        <v>15</v>
      </c>
      <c r="C536" t="s">
        <v>35</v>
      </c>
      <c r="D536" t="s">
        <v>504</v>
      </c>
      <c r="E536" t="s">
        <v>1809</v>
      </c>
      <c r="F536" t="s">
        <v>1855</v>
      </c>
      <c r="H536" t="s">
        <v>1863</v>
      </c>
      <c r="J536" t="s">
        <v>1871</v>
      </c>
    </row>
    <row r="537" spans="1:10">
      <c r="A537" s="1">
        <f>HYPERLINK("https://cms.ls-nyc.org/matter/dynamic-profile/view/1889888","19-1889888")</f>
        <v>0</v>
      </c>
      <c r="B537" t="s">
        <v>11</v>
      </c>
      <c r="C537" t="s">
        <v>37</v>
      </c>
      <c r="D537" t="s">
        <v>132</v>
      </c>
      <c r="E537" t="s">
        <v>1803</v>
      </c>
      <c r="F537" t="s">
        <v>1855</v>
      </c>
      <c r="H537" t="s">
        <v>1863</v>
      </c>
      <c r="J537" t="s">
        <v>1870</v>
      </c>
    </row>
    <row r="538" spans="1:10">
      <c r="A538" s="1">
        <f>HYPERLINK("https://cms.ls-nyc.org/matter/dynamic-profile/view/1889890","19-1889890")</f>
        <v>0</v>
      </c>
      <c r="B538" t="s">
        <v>15</v>
      </c>
      <c r="C538" t="s">
        <v>35</v>
      </c>
      <c r="D538" t="s">
        <v>504</v>
      </c>
      <c r="E538" t="s">
        <v>1808</v>
      </c>
      <c r="F538" t="s">
        <v>1857</v>
      </c>
      <c r="H538" t="s">
        <v>1863</v>
      </c>
      <c r="J538" t="s">
        <v>1867</v>
      </c>
    </row>
    <row r="539" spans="1:10">
      <c r="A539" s="1">
        <f>HYPERLINK("https://cms.ls-nyc.org/matter/dynamic-profile/view/1889938","19-1889938")</f>
        <v>0</v>
      </c>
      <c r="B539" t="s">
        <v>11</v>
      </c>
      <c r="C539" t="s">
        <v>37</v>
      </c>
      <c r="D539" t="s">
        <v>133</v>
      </c>
      <c r="E539" t="s">
        <v>1802</v>
      </c>
      <c r="H539" t="s">
        <v>1863</v>
      </c>
      <c r="J539" t="s">
        <v>1869</v>
      </c>
    </row>
    <row r="540" spans="1:10">
      <c r="A540" s="1">
        <f>HYPERLINK("https://cms.ls-nyc.org/matter/dynamic-profile/view/1889947","19-1889947")</f>
        <v>0</v>
      </c>
      <c r="B540" t="s">
        <v>15</v>
      </c>
      <c r="C540" t="s">
        <v>35</v>
      </c>
      <c r="D540" t="s">
        <v>505</v>
      </c>
      <c r="E540" t="s">
        <v>1803</v>
      </c>
      <c r="F540" t="s">
        <v>1855</v>
      </c>
      <c r="H540" t="s">
        <v>1863</v>
      </c>
      <c r="J540" t="s">
        <v>1870</v>
      </c>
    </row>
    <row r="541" spans="1:10">
      <c r="A541" s="1">
        <f>HYPERLINK("https://cms.ls-nyc.org/matter/dynamic-profile/view/1889953","19-1889953")</f>
        <v>0</v>
      </c>
      <c r="B541" t="s">
        <v>15</v>
      </c>
      <c r="C541" t="s">
        <v>35</v>
      </c>
      <c r="D541" t="s">
        <v>505</v>
      </c>
      <c r="E541" t="s">
        <v>1802</v>
      </c>
      <c r="F541" t="s">
        <v>1853</v>
      </c>
      <c r="H541" t="s">
        <v>1863</v>
      </c>
      <c r="J541" t="s">
        <v>1869</v>
      </c>
    </row>
    <row r="542" spans="1:10">
      <c r="A542" s="1">
        <f>HYPERLINK("https://cms.ls-nyc.org/matter/dynamic-profile/view/1889961","19-1889961")</f>
        <v>0</v>
      </c>
      <c r="B542" t="s">
        <v>15</v>
      </c>
      <c r="C542" t="s">
        <v>35</v>
      </c>
      <c r="D542" t="s">
        <v>505</v>
      </c>
      <c r="E542" t="s">
        <v>1809</v>
      </c>
      <c r="F542" t="s">
        <v>1855</v>
      </c>
      <c r="H542" t="s">
        <v>1863</v>
      </c>
      <c r="J542" t="s">
        <v>1870</v>
      </c>
    </row>
    <row r="543" spans="1:10">
      <c r="A543" s="1">
        <f>HYPERLINK("https://cms.ls-nyc.org/matter/dynamic-profile/view/1889975","19-1889975")</f>
        <v>0</v>
      </c>
      <c r="B543" t="s">
        <v>14</v>
      </c>
      <c r="C543" t="s">
        <v>31</v>
      </c>
      <c r="D543" t="s">
        <v>506</v>
      </c>
      <c r="E543" t="s">
        <v>1825</v>
      </c>
      <c r="F543" t="s">
        <v>1853</v>
      </c>
      <c r="H543" t="s">
        <v>1863</v>
      </c>
      <c r="J543" t="s">
        <v>1867</v>
      </c>
    </row>
    <row r="544" spans="1:10">
      <c r="A544" s="1">
        <f>HYPERLINK("https://cms.ls-nyc.org/matter/dynamic-profile/view/1889976","19-1889976")</f>
        <v>0</v>
      </c>
      <c r="B544" t="s">
        <v>11</v>
      </c>
      <c r="C544" t="s">
        <v>32</v>
      </c>
      <c r="D544" t="s">
        <v>507</v>
      </c>
      <c r="E544" t="s">
        <v>1804</v>
      </c>
      <c r="H544" t="s">
        <v>1863</v>
      </c>
      <c r="J544" t="s">
        <v>1867</v>
      </c>
    </row>
    <row r="545" spans="1:10">
      <c r="A545" s="1">
        <f>HYPERLINK("https://cms.ls-nyc.org/matter/dynamic-profile/view/1889988","19-1889988")</f>
        <v>0</v>
      </c>
      <c r="B545" t="s">
        <v>15</v>
      </c>
      <c r="C545" t="s">
        <v>34</v>
      </c>
      <c r="D545" t="s">
        <v>508</v>
      </c>
      <c r="E545" t="s">
        <v>1803</v>
      </c>
      <c r="F545" t="s">
        <v>1855</v>
      </c>
      <c r="H545" t="s">
        <v>1863</v>
      </c>
      <c r="J545" t="s">
        <v>1871</v>
      </c>
    </row>
    <row r="546" spans="1:10">
      <c r="A546" s="1">
        <f>HYPERLINK("https://cms.ls-nyc.org/matter/dynamic-profile/view/1889990","19-1889990")</f>
        <v>0</v>
      </c>
      <c r="B546" t="s">
        <v>12</v>
      </c>
      <c r="C546" t="s">
        <v>49</v>
      </c>
      <c r="D546" t="s">
        <v>509</v>
      </c>
      <c r="E546" t="s">
        <v>1804</v>
      </c>
      <c r="F546" t="s">
        <v>1853</v>
      </c>
      <c r="H546" t="s">
        <v>1863</v>
      </c>
      <c r="J546" t="s">
        <v>1867</v>
      </c>
    </row>
    <row r="547" spans="1:10">
      <c r="A547" s="1">
        <f>HYPERLINK("https://cms.ls-nyc.org/matter/dynamic-profile/view/1890000","19-1890000")</f>
        <v>0</v>
      </c>
      <c r="B547" t="s">
        <v>15</v>
      </c>
      <c r="C547" t="s">
        <v>34</v>
      </c>
      <c r="D547" t="s">
        <v>510</v>
      </c>
      <c r="E547" t="s">
        <v>1807</v>
      </c>
      <c r="F547" t="s">
        <v>1853</v>
      </c>
      <c r="G547" t="s">
        <v>1861</v>
      </c>
      <c r="J547" t="s">
        <v>1869</v>
      </c>
    </row>
    <row r="548" spans="1:10">
      <c r="A548" s="1">
        <f>HYPERLINK("https://cms.ls-nyc.org/matter/dynamic-profile/view/1890046","19-1890046")</f>
        <v>0</v>
      </c>
      <c r="B548" t="s">
        <v>15</v>
      </c>
      <c r="C548" t="s">
        <v>35</v>
      </c>
      <c r="D548" t="s">
        <v>511</v>
      </c>
      <c r="E548" t="s">
        <v>1802</v>
      </c>
      <c r="F548" t="s">
        <v>1853</v>
      </c>
      <c r="H548" t="s">
        <v>1863</v>
      </c>
      <c r="J548" t="s">
        <v>1869</v>
      </c>
    </row>
    <row r="549" spans="1:10">
      <c r="A549" s="1">
        <f>HYPERLINK("https://cms.ls-nyc.org/matter/dynamic-profile/view/1890058","19-1890058")</f>
        <v>0</v>
      </c>
      <c r="B549" t="s">
        <v>12</v>
      </c>
      <c r="C549" t="s">
        <v>20</v>
      </c>
      <c r="D549" t="s">
        <v>83</v>
      </c>
      <c r="E549" t="s">
        <v>1809</v>
      </c>
      <c r="F549" t="s">
        <v>1855</v>
      </c>
      <c r="H549" t="s">
        <v>1863</v>
      </c>
      <c r="J549" t="s">
        <v>1870</v>
      </c>
    </row>
    <row r="550" spans="1:10">
      <c r="A550" s="1">
        <f>HYPERLINK("https://cms.ls-nyc.org/matter/dynamic-profile/view/1889747","19-1889747")</f>
        <v>0</v>
      </c>
      <c r="B550" t="s">
        <v>10</v>
      </c>
      <c r="C550" t="s">
        <v>16</v>
      </c>
      <c r="D550" t="s">
        <v>512</v>
      </c>
      <c r="E550" t="s">
        <v>1799</v>
      </c>
      <c r="F550" t="s">
        <v>1853</v>
      </c>
      <c r="H550" t="s">
        <v>1863</v>
      </c>
      <c r="J550" t="s">
        <v>1869</v>
      </c>
    </row>
    <row r="551" spans="1:10">
      <c r="A551" s="1">
        <f>HYPERLINK("https://cms.ls-nyc.org/matter/dynamic-profile/view/1889757","19-1889757")</f>
        <v>0</v>
      </c>
      <c r="B551" t="s">
        <v>11</v>
      </c>
      <c r="C551" t="s">
        <v>52</v>
      </c>
      <c r="D551" t="s">
        <v>513</v>
      </c>
      <c r="F551" t="s">
        <v>1853</v>
      </c>
      <c r="H551" t="s">
        <v>1863</v>
      </c>
      <c r="I551" t="s">
        <v>1865</v>
      </c>
      <c r="J551" t="s">
        <v>1866</v>
      </c>
    </row>
    <row r="552" spans="1:10">
      <c r="A552" s="1">
        <f>HYPERLINK("https://cms.ls-nyc.org/matter/dynamic-profile/view/1889864","19-1889864")</f>
        <v>0</v>
      </c>
      <c r="B552" t="s">
        <v>12</v>
      </c>
      <c r="C552" t="s">
        <v>33</v>
      </c>
      <c r="D552" t="s">
        <v>514</v>
      </c>
      <c r="E552" t="s">
        <v>1804</v>
      </c>
      <c r="F552" t="s">
        <v>1853</v>
      </c>
      <c r="H552" t="s">
        <v>1863</v>
      </c>
      <c r="J552" t="s">
        <v>1867</v>
      </c>
    </row>
    <row r="553" spans="1:10">
      <c r="A553" s="1">
        <f>HYPERLINK("https://cms.ls-nyc.org/matter/dynamic-profile/view/1891200","19-1891200")</f>
        <v>0</v>
      </c>
      <c r="B553" t="s">
        <v>13</v>
      </c>
      <c r="C553" t="s">
        <v>29</v>
      </c>
      <c r="D553" t="s">
        <v>515</v>
      </c>
      <c r="F553" t="s">
        <v>1857</v>
      </c>
      <c r="H553" t="s">
        <v>1863</v>
      </c>
      <c r="J553" t="s">
        <v>1869</v>
      </c>
    </row>
    <row r="554" spans="1:10">
      <c r="A554" s="1">
        <f>HYPERLINK("https://cms.ls-nyc.org/matter/dynamic-profile/view/1892513","19-1892513")</f>
        <v>0</v>
      </c>
      <c r="B554" t="s">
        <v>11</v>
      </c>
      <c r="C554" t="s">
        <v>18</v>
      </c>
      <c r="D554" t="s">
        <v>516</v>
      </c>
      <c r="E554" t="s">
        <v>1804</v>
      </c>
      <c r="F554" t="s">
        <v>1853</v>
      </c>
      <c r="H554" t="s">
        <v>1863</v>
      </c>
      <c r="J554" t="s">
        <v>1867</v>
      </c>
    </row>
    <row r="555" spans="1:10">
      <c r="A555" s="1">
        <f>HYPERLINK("https://cms.ls-nyc.org/matter/dynamic-profile/view/1889740","19-1889740")</f>
        <v>0</v>
      </c>
      <c r="B555" t="s">
        <v>12</v>
      </c>
      <c r="C555" t="s">
        <v>21</v>
      </c>
      <c r="D555" t="s">
        <v>517</v>
      </c>
      <c r="E555" t="s">
        <v>1804</v>
      </c>
      <c r="F555" t="s">
        <v>1853</v>
      </c>
      <c r="H555" t="s">
        <v>1863</v>
      </c>
      <c r="J555" t="s">
        <v>1867</v>
      </c>
    </row>
    <row r="556" spans="1:10">
      <c r="A556" s="1">
        <f>HYPERLINK("https://cms.ls-nyc.org/matter/dynamic-profile/view/1889711","19-1889711")</f>
        <v>0</v>
      </c>
      <c r="B556" t="s">
        <v>13</v>
      </c>
      <c r="C556" t="s">
        <v>43</v>
      </c>
      <c r="D556" t="s">
        <v>518</v>
      </c>
      <c r="E556" t="s">
        <v>1816</v>
      </c>
      <c r="F556" t="s">
        <v>1853</v>
      </c>
      <c r="H556" t="s">
        <v>1863</v>
      </c>
      <c r="J556" t="s">
        <v>1867</v>
      </c>
    </row>
    <row r="557" spans="1:10">
      <c r="A557" s="1">
        <f>HYPERLINK("https://cms.ls-nyc.org/matter/dynamic-profile/view/1889739","19-1889739")</f>
        <v>0</v>
      </c>
      <c r="B557" t="s">
        <v>12</v>
      </c>
      <c r="C557" t="s">
        <v>21</v>
      </c>
      <c r="D557" t="s">
        <v>517</v>
      </c>
      <c r="E557" t="s">
        <v>1816</v>
      </c>
      <c r="F557" t="s">
        <v>1853</v>
      </c>
      <c r="H557" t="s">
        <v>1863</v>
      </c>
      <c r="J557" t="s">
        <v>1867</v>
      </c>
    </row>
    <row r="558" spans="1:10">
      <c r="A558" s="1">
        <f>HYPERLINK("https://cms.ls-nyc.org/matter/dynamic-profile/view/1889584","19-1889584")</f>
        <v>0</v>
      </c>
      <c r="B558" t="s">
        <v>12</v>
      </c>
      <c r="C558" t="s">
        <v>33</v>
      </c>
      <c r="D558" t="s">
        <v>519</v>
      </c>
      <c r="G558" t="s">
        <v>1861</v>
      </c>
      <c r="J558" t="s">
        <v>1868</v>
      </c>
    </row>
    <row r="559" spans="1:10">
      <c r="A559" s="1">
        <f>HYPERLINK("https://cms.ls-nyc.org/matter/dynamic-profile/view/1889523","19-1889523")</f>
        <v>0</v>
      </c>
      <c r="B559" t="s">
        <v>14</v>
      </c>
      <c r="C559" t="s">
        <v>28</v>
      </c>
      <c r="D559" t="s">
        <v>520</v>
      </c>
      <c r="E559" t="s">
        <v>1821</v>
      </c>
      <c r="F559" t="s">
        <v>1856</v>
      </c>
      <c r="H559" t="s">
        <v>1863</v>
      </c>
      <c r="J559" t="s">
        <v>1866</v>
      </c>
    </row>
    <row r="560" spans="1:10">
      <c r="A560" s="1">
        <f>HYPERLINK("https://cms.ls-nyc.org/matter/dynamic-profile/view/1889600","19-1889600")</f>
        <v>0</v>
      </c>
      <c r="B560" t="s">
        <v>11</v>
      </c>
      <c r="C560" t="s">
        <v>39</v>
      </c>
      <c r="D560" t="s">
        <v>521</v>
      </c>
      <c r="E560" t="s">
        <v>1803</v>
      </c>
      <c r="F560" t="s">
        <v>1855</v>
      </c>
      <c r="H560" t="s">
        <v>1863</v>
      </c>
      <c r="J560" t="s">
        <v>1869</v>
      </c>
    </row>
    <row r="561" spans="1:10">
      <c r="A561" s="1">
        <f>HYPERLINK("https://cms.ls-nyc.org/matter/dynamic-profile/view/1889433","19-1889433")</f>
        <v>0</v>
      </c>
      <c r="B561" t="s">
        <v>10</v>
      </c>
      <c r="C561" t="s">
        <v>16</v>
      </c>
      <c r="D561" t="s">
        <v>522</v>
      </c>
      <c r="E561" t="s">
        <v>1799</v>
      </c>
      <c r="F561" t="s">
        <v>1853</v>
      </c>
      <c r="H561" t="s">
        <v>1863</v>
      </c>
      <c r="J561" t="s">
        <v>1867</v>
      </c>
    </row>
    <row r="562" spans="1:10">
      <c r="A562" s="1">
        <f>HYPERLINK("https://cms.ls-nyc.org/matter/dynamic-profile/view/1889473","19-1889473")</f>
        <v>0</v>
      </c>
      <c r="B562" t="s">
        <v>12</v>
      </c>
      <c r="C562" t="s">
        <v>21</v>
      </c>
      <c r="D562" t="s">
        <v>463</v>
      </c>
      <c r="E562" t="s">
        <v>1809</v>
      </c>
      <c r="F562" t="s">
        <v>1855</v>
      </c>
      <c r="H562" t="s">
        <v>1863</v>
      </c>
      <c r="J562" t="s">
        <v>1870</v>
      </c>
    </row>
    <row r="563" spans="1:10">
      <c r="A563" s="1">
        <f>HYPERLINK("https://cms.ls-nyc.org/matter/dynamic-profile/view/1889475","19-1889475")</f>
        <v>0</v>
      </c>
      <c r="B563" t="s">
        <v>12</v>
      </c>
      <c r="C563" t="s">
        <v>21</v>
      </c>
      <c r="D563" t="s">
        <v>465</v>
      </c>
      <c r="E563" t="s">
        <v>1809</v>
      </c>
      <c r="F563" t="s">
        <v>1855</v>
      </c>
      <c r="H563" t="s">
        <v>1863</v>
      </c>
      <c r="J563" t="s">
        <v>1870</v>
      </c>
    </row>
    <row r="564" spans="1:10">
      <c r="A564" s="1">
        <f>HYPERLINK("https://cms.ls-nyc.org/matter/dynamic-profile/view/1889489","19-1889489")</f>
        <v>0</v>
      </c>
      <c r="B564" t="s">
        <v>11</v>
      </c>
      <c r="C564" t="s">
        <v>23</v>
      </c>
      <c r="D564" t="s">
        <v>523</v>
      </c>
      <c r="E564" t="s">
        <v>1808</v>
      </c>
      <c r="G564" t="s">
        <v>1861</v>
      </c>
      <c r="J564" t="s">
        <v>1867</v>
      </c>
    </row>
    <row r="565" spans="1:10">
      <c r="A565" s="1">
        <f>HYPERLINK("https://cms.ls-nyc.org/matter/dynamic-profile/view/1890980","19-1890980")</f>
        <v>0</v>
      </c>
      <c r="B565" t="s">
        <v>12</v>
      </c>
      <c r="C565" t="s">
        <v>33</v>
      </c>
      <c r="D565" t="s">
        <v>524</v>
      </c>
      <c r="G565" t="s">
        <v>1861</v>
      </c>
      <c r="J565" t="s">
        <v>1866</v>
      </c>
    </row>
    <row r="566" spans="1:10">
      <c r="A566" s="1">
        <f>HYPERLINK("https://cms.ls-nyc.org/matter/dynamic-profile/view/1889271","19-1889271")</f>
        <v>0</v>
      </c>
      <c r="B566" t="s">
        <v>14</v>
      </c>
      <c r="C566" t="s">
        <v>42</v>
      </c>
      <c r="D566" t="s">
        <v>525</v>
      </c>
      <c r="E566" t="s">
        <v>1835</v>
      </c>
      <c r="F566" t="s">
        <v>1853</v>
      </c>
      <c r="H566" t="s">
        <v>1863</v>
      </c>
      <c r="J566" t="s">
        <v>1867</v>
      </c>
    </row>
    <row r="567" spans="1:10">
      <c r="A567" s="1">
        <f>HYPERLINK("https://cms.ls-nyc.org/matter/dynamic-profile/view/1889362","19-1889362")</f>
        <v>0</v>
      </c>
      <c r="B567" t="s">
        <v>14</v>
      </c>
      <c r="C567" t="s">
        <v>42</v>
      </c>
      <c r="D567" t="s">
        <v>525</v>
      </c>
      <c r="E567" t="s">
        <v>1804</v>
      </c>
      <c r="F567" t="s">
        <v>1853</v>
      </c>
      <c r="H567" t="s">
        <v>1863</v>
      </c>
      <c r="J567" t="s">
        <v>1867</v>
      </c>
    </row>
    <row r="568" spans="1:10">
      <c r="A568" s="1">
        <f>HYPERLINK("https://cms.ls-nyc.org/matter/dynamic-profile/view/1889306","19-1889306")</f>
        <v>0</v>
      </c>
      <c r="B568" t="s">
        <v>13</v>
      </c>
      <c r="C568" t="s">
        <v>29</v>
      </c>
      <c r="D568" t="s">
        <v>526</v>
      </c>
      <c r="E568" t="s">
        <v>1807</v>
      </c>
      <c r="F568" t="s">
        <v>1853</v>
      </c>
      <c r="H568" t="s">
        <v>1863</v>
      </c>
      <c r="J568" t="s">
        <v>1869</v>
      </c>
    </row>
    <row r="569" spans="1:10">
      <c r="A569" s="1">
        <f>HYPERLINK("https://cms.ls-nyc.org/matter/dynamic-profile/view/1889846","19-1889846")</f>
        <v>0</v>
      </c>
      <c r="B569" t="s">
        <v>11</v>
      </c>
      <c r="C569" t="s">
        <v>18</v>
      </c>
      <c r="D569" t="s">
        <v>527</v>
      </c>
      <c r="E569" t="s">
        <v>1804</v>
      </c>
      <c r="F569" t="s">
        <v>1853</v>
      </c>
      <c r="H569" t="s">
        <v>1863</v>
      </c>
      <c r="J569" t="s">
        <v>1867</v>
      </c>
    </row>
    <row r="570" spans="1:10">
      <c r="A570" s="1">
        <f>HYPERLINK("https://cms.ls-nyc.org/matter/dynamic-profile/view/1890662","19-1890662")</f>
        <v>0</v>
      </c>
      <c r="B570" t="s">
        <v>12</v>
      </c>
      <c r="C570" t="s">
        <v>33</v>
      </c>
      <c r="D570" t="s">
        <v>528</v>
      </c>
      <c r="E570" t="s">
        <v>1803</v>
      </c>
      <c r="G570" t="s">
        <v>1861</v>
      </c>
      <c r="J570" t="s">
        <v>1871</v>
      </c>
    </row>
    <row r="571" spans="1:10">
      <c r="A571" s="1">
        <f>HYPERLINK("https://cms.ls-nyc.org/matter/dynamic-profile/view/1889206","19-1889206")</f>
        <v>0</v>
      </c>
      <c r="B571" t="s">
        <v>15</v>
      </c>
      <c r="C571" t="s">
        <v>35</v>
      </c>
      <c r="D571" t="s">
        <v>529</v>
      </c>
      <c r="E571" t="s">
        <v>1804</v>
      </c>
      <c r="F571" t="s">
        <v>1853</v>
      </c>
      <c r="H571" t="s">
        <v>1863</v>
      </c>
      <c r="J571" t="s">
        <v>1867</v>
      </c>
    </row>
    <row r="572" spans="1:10">
      <c r="A572" s="1">
        <f>HYPERLINK("https://cms.ls-nyc.org/matter/dynamic-profile/view/1886905","19-1886905")</f>
        <v>0</v>
      </c>
      <c r="B572" t="s">
        <v>13</v>
      </c>
      <c r="C572" t="s">
        <v>43</v>
      </c>
      <c r="D572" t="s">
        <v>530</v>
      </c>
      <c r="F572" t="s">
        <v>1859</v>
      </c>
      <c r="G572" t="s">
        <v>1861</v>
      </c>
      <c r="H572" t="s">
        <v>1864</v>
      </c>
      <c r="J572" t="s">
        <v>1868</v>
      </c>
    </row>
    <row r="573" spans="1:10">
      <c r="A573" s="1">
        <f>HYPERLINK("https://cms.ls-nyc.org/matter/dynamic-profile/view/1889157","19-1889157")</f>
        <v>0</v>
      </c>
      <c r="B573" t="s">
        <v>14</v>
      </c>
      <c r="C573" t="s">
        <v>31</v>
      </c>
      <c r="D573" t="s">
        <v>531</v>
      </c>
      <c r="E573" t="s">
        <v>1821</v>
      </c>
      <c r="F573" t="s">
        <v>1853</v>
      </c>
      <c r="H573" t="s">
        <v>1863</v>
      </c>
      <c r="J573" t="s">
        <v>1867</v>
      </c>
    </row>
    <row r="574" spans="1:10">
      <c r="A574" s="1">
        <f>HYPERLINK("https://cms.ls-nyc.org/matter/dynamic-profile/view/1889176","19-1889176")</f>
        <v>0</v>
      </c>
      <c r="B574" t="s">
        <v>12</v>
      </c>
      <c r="C574" t="s">
        <v>20</v>
      </c>
      <c r="D574" t="s">
        <v>532</v>
      </c>
      <c r="E574" t="s">
        <v>1803</v>
      </c>
      <c r="G574" t="s">
        <v>1861</v>
      </c>
      <c r="J574" t="s">
        <v>1871</v>
      </c>
    </row>
    <row r="575" spans="1:10">
      <c r="A575" s="1">
        <f>HYPERLINK("https://cms.ls-nyc.org/matter/dynamic-profile/view/1889202","19-1889202")</f>
        <v>0</v>
      </c>
      <c r="B575" t="s">
        <v>15</v>
      </c>
      <c r="C575" t="s">
        <v>35</v>
      </c>
      <c r="D575" t="s">
        <v>533</v>
      </c>
      <c r="E575" t="s">
        <v>1804</v>
      </c>
      <c r="F575" t="s">
        <v>1853</v>
      </c>
      <c r="H575" t="s">
        <v>1863</v>
      </c>
      <c r="J575" t="s">
        <v>1867</v>
      </c>
    </row>
    <row r="576" spans="1:10">
      <c r="A576" s="1">
        <f>HYPERLINK("https://cms.ls-nyc.org/matter/dynamic-profile/view/1889205","19-1889205")</f>
        <v>0</v>
      </c>
      <c r="B576" t="s">
        <v>14</v>
      </c>
      <c r="C576" t="s">
        <v>42</v>
      </c>
      <c r="D576" t="s">
        <v>534</v>
      </c>
      <c r="E576" t="s">
        <v>1815</v>
      </c>
      <c r="F576" t="s">
        <v>1853</v>
      </c>
      <c r="H576" t="s">
        <v>1863</v>
      </c>
      <c r="J576" t="s">
        <v>1867</v>
      </c>
    </row>
    <row r="577" spans="1:10">
      <c r="A577" s="1">
        <f>HYPERLINK("https://cms.ls-nyc.org/matter/dynamic-profile/view/1889019","19-1889019")</f>
        <v>0</v>
      </c>
      <c r="B577" t="s">
        <v>14</v>
      </c>
      <c r="C577" t="s">
        <v>42</v>
      </c>
      <c r="D577" t="s">
        <v>535</v>
      </c>
      <c r="E577" t="s">
        <v>1836</v>
      </c>
      <c r="F577" t="s">
        <v>1858</v>
      </c>
      <c r="G577" t="s">
        <v>1861</v>
      </c>
      <c r="H577" t="s">
        <v>1864</v>
      </c>
      <c r="J577" t="s">
        <v>1868</v>
      </c>
    </row>
    <row r="578" spans="1:10">
      <c r="A578" s="1">
        <f>HYPERLINK("https://cms.ls-nyc.org/matter/dynamic-profile/view/1889044","19-1889044")</f>
        <v>0</v>
      </c>
      <c r="B578" t="s">
        <v>14</v>
      </c>
      <c r="C578" t="s">
        <v>31</v>
      </c>
      <c r="D578" t="s">
        <v>536</v>
      </c>
      <c r="E578" t="s">
        <v>1810</v>
      </c>
      <c r="F578" t="s">
        <v>1858</v>
      </c>
      <c r="G578" t="s">
        <v>1861</v>
      </c>
      <c r="H578" t="s">
        <v>1864</v>
      </c>
      <c r="J578" t="s">
        <v>1868</v>
      </c>
    </row>
    <row r="579" spans="1:10">
      <c r="A579" s="1">
        <f>HYPERLINK("https://cms.ls-nyc.org/matter/dynamic-profile/view/1889033","19-1889033")</f>
        <v>0</v>
      </c>
      <c r="B579" t="s">
        <v>10</v>
      </c>
      <c r="C579" t="s">
        <v>16</v>
      </c>
      <c r="D579" t="s">
        <v>537</v>
      </c>
      <c r="E579" t="s">
        <v>1809</v>
      </c>
      <c r="F579" t="s">
        <v>1855</v>
      </c>
      <c r="H579" t="s">
        <v>1863</v>
      </c>
      <c r="J579" t="s">
        <v>1871</v>
      </c>
    </row>
    <row r="580" spans="1:10">
      <c r="A580" s="1">
        <f>HYPERLINK("https://cms.ls-nyc.org/matter/dynamic-profile/view/1889110","19-1889110")</f>
        <v>0</v>
      </c>
      <c r="B580" t="s">
        <v>11</v>
      </c>
      <c r="C580" t="s">
        <v>18</v>
      </c>
      <c r="D580" t="s">
        <v>538</v>
      </c>
      <c r="E580" t="s">
        <v>1809</v>
      </c>
      <c r="F580" t="s">
        <v>1855</v>
      </c>
      <c r="H580" t="s">
        <v>1863</v>
      </c>
      <c r="J580" t="s">
        <v>1870</v>
      </c>
    </row>
    <row r="581" spans="1:10">
      <c r="A581" s="1">
        <f>HYPERLINK("https://cms.ls-nyc.org/matter/dynamic-profile/view/1889114","19-1889114")</f>
        <v>0</v>
      </c>
      <c r="B581" t="s">
        <v>11</v>
      </c>
      <c r="C581" t="s">
        <v>18</v>
      </c>
      <c r="D581" t="s">
        <v>539</v>
      </c>
      <c r="E581" t="s">
        <v>1809</v>
      </c>
      <c r="F581" t="s">
        <v>1855</v>
      </c>
      <c r="H581" t="s">
        <v>1863</v>
      </c>
      <c r="J581" t="s">
        <v>1870</v>
      </c>
    </row>
    <row r="582" spans="1:10">
      <c r="A582" s="1">
        <f>HYPERLINK("https://cms.ls-nyc.org/matter/dynamic-profile/view/1885328","18-1885328")</f>
        <v>0</v>
      </c>
      <c r="B582" t="s">
        <v>13</v>
      </c>
      <c r="C582" t="s">
        <v>22</v>
      </c>
      <c r="D582" t="s">
        <v>540</v>
      </c>
      <c r="E582" t="s">
        <v>1807</v>
      </c>
      <c r="F582" t="s">
        <v>1853</v>
      </c>
      <c r="H582" t="s">
        <v>1863</v>
      </c>
      <c r="J582" t="s">
        <v>1869</v>
      </c>
    </row>
    <row r="583" spans="1:10">
      <c r="A583" s="1">
        <f>HYPERLINK("https://cms.ls-nyc.org/matter/dynamic-profile/view/1888848","19-1888848")</f>
        <v>0</v>
      </c>
      <c r="B583" t="s">
        <v>14</v>
      </c>
      <c r="C583" t="s">
        <v>42</v>
      </c>
      <c r="D583" t="s">
        <v>541</v>
      </c>
      <c r="E583" t="s">
        <v>1803</v>
      </c>
      <c r="F583" t="s">
        <v>1855</v>
      </c>
      <c r="H583" t="s">
        <v>1863</v>
      </c>
      <c r="J583" t="s">
        <v>1871</v>
      </c>
    </row>
    <row r="584" spans="1:10">
      <c r="A584" s="1">
        <f>HYPERLINK("https://cms.ls-nyc.org/matter/dynamic-profile/view/1888861","19-1888861")</f>
        <v>0</v>
      </c>
      <c r="B584" t="s">
        <v>14</v>
      </c>
      <c r="C584" t="s">
        <v>42</v>
      </c>
      <c r="D584" t="s">
        <v>542</v>
      </c>
      <c r="E584" t="s">
        <v>1803</v>
      </c>
      <c r="F584" t="s">
        <v>1855</v>
      </c>
      <c r="H584" t="s">
        <v>1863</v>
      </c>
      <c r="J584" t="s">
        <v>1870</v>
      </c>
    </row>
    <row r="585" spans="1:10">
      <c r="A585" s="1">
        <f>HYPERLINK("https://cms.ls-nyc.org/matter/dynamic-profile/view/1888901","19-1888901")</f>
        <v>0</v>
      </c>
      <c r="B585" t="s">
        <v>11</v>
      </c>
      <c r="C585" t="s">
        <v>41</v>
      </c>
      <c r="D585" t="s">
        <v>543</v>
      </c>
      <c r="G585" t="s">
        <v>1861</v>
      </c>
      <c r="J585" t="s">
        <v>1866</v>
      </c>
    </row>
    <row r="586" spans="1:10">
      <c r="A586" s="1">
        <f>HYPERLINK("https://cms.ls-nyc.org/matter/dynamic-profile/view/1888921","19-1888921")</f>
        <v>0</v>
      </c>
      <c r="B586" t="s">
        <v>15</v>
      </c>
      <c r="C586" t="s">
        <v>47</v>
      </c>
      <c r="D586" t="s">
        <v>544</v>
      </c>
      <c r="E586" t="s">
        <v>1806</v>
      </c>
      <c r="H586" t="s">
        <v>1863</v>
      </c>
      <c r="J586" t="s">
        <v>1869</v>
      </c>
    </row>
    <row r="587" spans="1:10">
      <c r="A587" s="1">
        <f>HYPERLINK("https://cms.ls-nyc.org/matter/dynamic-profile/view/1888926","19-1888926")</f>
        <v>0</v>
      </c>
      <c r="B587" t="s">
        <v>15</v>
      </c>
      <c r="C587" t="s">
        <v>47</v>
      </c>
      <c r="D587" t="s">
        <v>545</v>
      </c>
      <c r="E587" t="s">
        <v>1806</v>
      </c>
      <c r="F587" t="s">
        <v>1853</v>
      </c>
      <c r="H587" t="s">
        <v>1863</v>
      </c>
      <c r="J587" t="s">
        <v>1869</v>
      </c>
    </row>
    <row r="588" spans="1:10">
      <c r="A588" s="1">
        <f>HYPERLINK("https://cms.ls-nyc.org/matter/dynamic-profile/view/1888954","19-1888954")</f>
        <v>0</v>
      </c>
      <c r="B588" t="s">
        <v>10</v>
      </c>
      <c r="C588" t="s">
        <v>16</v>
      </c>
      <c r="D588" t="s">
        <v>546</v>
      </c>
      <c r="E588" t="s">
        <v>1805</v>
      </c>
      <c r="F588" t="s">
        <v>1853</v>
      </c>
      <c r="H588" t="s">
        <v>1863</v>
      </c>
      <c r="J588" t="s">
        <v>1869</v>
      </c>
    </row>
    <row r="589" spans="1:10">
      <c r="A589" s="1">
        <f>HYPERLINK("https://cms.ls-nyc.org/matter/dynamic-profile/view/1888959","19-1888959")</f>
        <v>0</v>
      </c>
      <c r="B589" t="s">
        <v>10</v>
      </c>
      <c r="C589" t="s">
        <v>16</v>
      </c>
      <c r="D589" t="s">
        <v>547</v>
      </c>
      <c r="E589" t="s">
        <v>1806</v>
      </c>
      <c r="F589" t="s">
        <v>1853</v>
      </c>
      <c r="H589" t="s">
        <v>1863</v>
      </c>
      <c r="J589" t="s">
        <v>1869</v>
      </c>
    </row>
    <row r="590" spans="1:10">
      <c r="A590" s="1">
        <f>HYPERLINK("https://cms.ls-nyc.org/matter/dynamic-profile/view/1888961","19-1888961")</f>
        <v>0</v>
      </c>
      <c r="B590" t="s">
        <v>10</v>
      </c>
      <c r="C590" t="s">
        <v>16</v>
      </c>
      <c r="D590" t="s">
        <v>547</v>
      </c>
      <c r="E590" t="s">
        <v>1805</v>
      </c>
      <c r="F590" t="s">
        <v>1853</v>
      </c>
      <c r="H590" t="s">
        <v>1863</v>
      </c>
      <c r="J590" t="s">
        <v>1869</v>
      </c>
    </row>
    <row r="591" spans="1:10">
      <c r="A591" s="1">
        <f>HYPERLINK("https://cms.ls-nyc.org/matter/dynamic-profile/view/1888963","19-1888963")</f>
        <v>0</v>
      </c>
      <c r="B591" t="s">
        <v>10</v>
      </c>
      <c r="C591" t="s">
        <v>16</v>
      </c>
      <c r="D591" t="s">
        <v>546</v>
      </c>
      <c r="E591" t="s">
        <v>1806</v>
      </c>
      <c r="F591" t="s">
        <v>1853</v>
      </c>
      <c r="H591" t="s">
        <v>1863</v>
      </c>
      <c r="J591" t="s">
        <v>1869</v>
      </c>
    </row>
    <row r="592" spans="1:10">
      <c r="A592" s="1">
        <f>HYPERLINK("https://cms.ls-nyc.org/matter/dynamic-profile/view/1888966","19-1888966")</f>
        <v>0</v>
      </c>
      <c r="B592" t="s">
        <v>10</v>
      </c>
      <c r="C592" t="s">
        <v>16</v>
      </c>
      <c r="D592" t="s">
        <v>548</v>
      </c>
      <c r="E592" t="s">
        <v>1805</v>
      </c>
      <c r="F592" t="s">
        <v>1853</v>
      </c>
      <c r="H592" t="s">
        <v>1863</v>
      </c>
      <c r="J592" t="s">
        <v>1869</v>
      </c>
    </row>
    <row r="593" spans="1:10">
      <c r="A593" s="1">
        <f>HYPERLINK("https://cms.ls-nyc.org/matter/dynamic-profile/view/1888988","19-1888988")</f>
        <v>0</v>
      </c>
      <c r="B593" t="s">
        <v>12</v>
      </c>
      <c r="C593" t="s">
        <v>20</v>
      </c>
      <c r="D593" t="s">
        <v>549</v>
      </c>
      <c r="G593" t="s">
        <v>1861</v>
      </c>
      <c r="J593" t="s">
        <v>1869</v>
      </c>
    </row>
    <row r="594" spans="1:10">
      <c r="A594" s="1">
        <f>HYPERLINK("https://cms.ls-nyc.org/matter/dynamic-profile/view/1886997","19-1886997")</f>
        <v>0</v>
      </c>
      <c r="B594" t="s">
        <v>13</v>
      </c>
      <c r="C594" t="s">
        <v>43</v>
      </c>
      <c r="D594" t="s">
        <v>550</v>
      </c>
      <c r="F594" t="s">
        <v>1858</v>
      </c>
      <c r="H594" t="s">
        <v>1863</v>
      </c>
      <c r="J594" t="s">
        <v>1868</v>
      </c>
    </row>
    <row r="595" spans="1:10">
      <c r="A595" s="1">
        <f>HYPERLINK("https://cms.ls-nyc.org/matter/dynamic-profile/view/1887995","19-1887995")</f>
        <v>0</v>
      </c>
      <c r="B595" t="s">
        <v>13</v>
      </c>
      <c r="C595" t="s">
        <v>43</v>
      </c>
      <c r="D595" t="s">
        <v>551</v>
      </c>
      <c r="F595" t="s">
        <v>1858</v>
      </c>
      <c r="H595" t="s">
        <v>1863</v>
      </c>
      <c r="J595" t="s">
        <v>1868</v>
      </c>
    </row>
    <row r="596" spans="1:10">
      <c r="A596" s="1">
        <f>HYPERLINK("https://cms.ls-nyc.org/matter/dynamic-profile/view/1887947","19-1887947")</f>
        <v>0</v>
      </c>
      <c r="B596" t="s">
        <v>13</v>
      </c>
      <c r="C596" t="s">
        <v>22</v>
      </c>
      <c r="D596" t="s">
        <v>279</v>
      </c>
      <c r="E596" t="s">
        <v>1807</v>
      </c>
      <c r="F596" t="s">
        <v>1853</v>
      </c>
      <c r="H596" t="s">
        <v>1863</v>
      </c>
      <c r="J596" t="s">
        <v>1869</v>
      </c>
    </row>
    <row r="597" spans="1:10">
      <c r="A597" s="1">
        <f>HYPERLINK("https://cms.ls-nyc.org/matter/dynamic-profile/view/1888747","19-1888747")</f>
        <v>0</v>
      </c>
      <c r="B597" t="s">
        <v>10</v>
      </c>
      <c r="C597" t="s">
        <v>17</v>
      </c>
      <c r="D597" t="s">
        <v>552</v>
      </c>
      <c r="E597" t="s">
        <v>1807</v>
      </c>
      <c r="F597" t="s">
        <v>1853</v>
      </c>
      <c r="H597" t="s">
        <v>1863</v>
      </c>
      <c r="J597" t="s">
        <v>1869</v>
      </c>
    </row>
    <row r="598" spans="1:10">
      <c r="A598" s="1">
        <f>HYPERLINK("https://cms.ls-nyc.org/matter/dynamic-profile/view/1888781","19-1888781")</f>
        <v>0</v>
      </c>
      <c r="B598" t="s">
        <v>11</v>
      </c>
      <c r="C598" t="s">
        <v>38</v>
      </c>
      <c r="D598" t="s">
        <v>553</v>
      </c>
      <c r="E598" t="s">
        <v>1800</v>
      </c>
      <c r="F598" t="s">
        <v>1853</v>
      </c>
      <c r="H598" t="s">
        <v>1863</v>
      </c>
      <c r="J598" t="s">
        <v>1869</v>
      </c>
    </row>
    <row r="599" spans="1:10">
      <c r="A599" s="1">
        <f>HYPERLINK("https://cms.ls-nyc.org/matter/dynamic-profile/view/1888836","19-1888836")</f>
        <v>0</v>
      </c>
      <c r="B599" t="s">
        <v>14</v>
      </c>
      <c r="C599" t="s">
        <v>31</v>
      </c>
      <c r="D599" t="s">
        <v>554</v>
      </c>
      <c r="E599" t="s">
        <v>1799</v>
      </c>
      <c r="F599" t="s">
        <v>1853</v>
      </c>
      <c r="H599" t="s">
        <v>1863</v>
      </c>
      <c r="J599" t="s">
        <v>1867</v>
      </c>
    </row>
    <row r="600" spans="1:10">
      <c r="A600" s="1">
        <f>HYPERLINK("https://cms.ls-nyc.org/matter/dynamic-profile/view/1888533","19-1888533")</f>
        <v>0</v>
      </c>
      <c r="B600" t="s">
        <v>15</v>
      </c>
      <c r="C600" t="s">
        <v>47</v>
      </c>
      <c r="D600" t="s">
        <v>555</v>
      </c>
      <c r="E600" t="s">
        <v>1827</v>
      </c>
      <c r="F600" t="s">
        <v>1853</v>
      </c>
      <c r="H600" t="s">
        <v>1863</v>
      </c>
      <c r="J600" t="s">
        <v>1869</v>
      </c>
    </row>
    <row r="601" spans="1:10">
      <c r="A601" s="1">
        <f>HYPERLINK("https://cms.ls-nyc.org/matter/dynamic-profile/view/1888622","19-1888622")</f>
        <v>0</v>
      </c>
      <c r="B601" t="s">
        <v>14</v>
      </c>
      <c r="C601" t="s">
        <v>42</v>
      </c>
      <c r="D601" t="s">
        <v>556</v>
      </c>
      <c r="E601" t="s">
        <v>1803</v>
      </c>
      <c r="F601" t="s">
        <v>1855</v>
      </c>
      <c r="H601" t="s">
        <v>1863</v>
      </c>
      <c r="J601" t="s">
        <v>1870</v>
      </c>
    </row>
    <row r="602" spans="1:10">
      <c r="A602" s="1">
        <f>HYPERLINK("https://cms.ls-nyc.org/matter/dynamic-profile/view/1888632","19-1888632")</f>
        <v>0</v>
      </c>
      <c r="B602" t="s">
        <v>14</v>
      </c>
      <c r="C602" t="s">
        <v>42</v>
      </c>
      <c r="D602" t="s">
        <v>557</v>
      </c>
      <c r="E602" t="s">
        <v>1809</v>
      </c>
      <c r="F602" t="s">
        <v>1855</v>
      </c>
      <c r="H602" t="s">
        <v>1863</v>
      </c>
      <c r="J602" t="s">
        <v>1871</v>
      </c>
    </row>
    <row r="603" spans="1:10">
      <c r="A603" s="1">
        <f>HYPERLINK("https://cms.ls-nyc.org/matter/dynamic-profile/view/1888697","19-1888697")</f>
        <v>0</v>
      </c>
      <c r="B603" t="s">
        <v>11</v>
      </c>
      <c r="C603" t="s">
        <v>39</v>
      </c>
      <c r="D603" t="s">
        <v>558</v>
      </c>
      <c r="E603" t="s">
        <v>1802</v>
      </c>
      <c r="F603" t="s">
        <v>1853</v>
      </c>
      <c r="H603" t="s">
        <v>1863</v>
      </c>
      <c r="J603" t="s">
        <v>1869</v>
      </c>
    </row>
    <row r="604" spans="1:10">
      <c r="A604" s="1">
        <f>HYPERLINK("https://cms.ls-nyc.org/matter/dynamic-profile/view/1888437","19-1888437")</f>
        <v>0</v>
      </c>
      <c r="B604" t="s">
        <v>11</v>
      </c>
      <c r="C604" t="s">
        <v>39</v>
      </c>
      <c r="D604" t="s">
        <v>559</v>
      </c>
      <c r="E604" t="s">
        <v>1814</v>
      </c>
      <c r="F604" t="s">
        <v>1858</v>
      </c>
      <c r="H604" t="s">
        <v>1863</v>
      </c>
      <c r="J604" t="s">
        <v>1868</v>
      </c>
    </row>
    <row r="605" spans="1:10">
      <c r="A605" s="1">
        <f>HYPERLINK("https://cms.ls-nyc.org/matter/dynamic-profile/view/1885327","18-1885327")</f>
        <v>0</v>
      </c>
      <c r="B605" t="s">
        <v>13</v>
      </c>
      <c r="C605" t="s">
        <v>22</v>
      </c>
      <c r="D605" t="s">
        <v>560</v>
      </c>
      <c r="E605" t="s">
        <v>1807</v>
      </c>
      <c r="F605" t="s">
        <v>1853</v>
      </c>
      <c r="H605" t="s">
        <v>1863</v>
      </c>
      <c r="J605" t="s">
        <v>1869</v>
      </c>
    </row>
    <row r="606" spans="1:10">
      <c r="A606" s="1">
        <f>HYPERLINK("https://cms.ls-nyc.org/matter/dynamic-profile/view/1888444","19-1888444")</f>
        <v>0</v>
      </c>
      <c r="B606" t="s">
        <v>12</v>
      </c>
      <c r="C606" t="s">
        <v>21</v>
      </c>
      <c r="D606" t="s">
        <v>561</v>
      </c>
      <c r="E606" t="s">
        <v>1809</v>
      </c>
      <c r="F606" t="s">
        <v>1855</v>
      </c>
      <c r="H606" t="s">
        <v>1863</v>
      </c>
      <c r="J606" t="s">
        <v>1871</v>
      </c>
    </row>
    <row r="607" spans="1:10">
      <c r="A607" s="1">
        <f>HYPERLINK("https://cms.ls-nyc.org/matter/dynamic-profile/view/1888453","19-1888453")</f>
        <v>0</v>
      </c>
      <c r="B607" t="s">
        <v>11</v>
      </c>
      <c r="C607" t="s">
        <v>38</v>
      </c>
      <c r="D607" t="s">
        <v>562</v>
      </c>
      <c r="E607" t="s">
        <v>1807</v>
      </c>
      <c r="F607" t="s">
        <v>1858</v>
      </c>
      <c r="H607" t="s">
        <v>1863</v>
      </c>
      <c r="J607" t="s">
        <v>1868</v>
      </c>
    </row>
    <row r="608" spans="1:10">
      <c r="A608" s="1">
        <f>HYPERLINK("https://cms.ls-nyc.org/matter/dynamic-profile/view/1888458","19-1888458")</f>
        <v>0</v>
      </c>
      <c r="B608" t="s">
        <v>11</v>
      </c>
      <c r="C608" t="s">
        <v>38</v>
      </c>
      <c r="D608" t="s">
        <v>563</v>
      </c>
      <c r="E608" t="s">
        <v>1807</v>
      </c>
      <c r="F608" t="s">
        <v>1858</v>
      </c>
      <c r="H608" t="s">
        <v>1863</v>
      </c>
      <c r="J608" t="s">
        <v>1868</v>
      </c>
    </row>
    <row r="609" spans="1:10">
      <c r="A609" s="1">
        <f>HYPERLINK("https://cms.ls-nyc.org/matter/dynamic-profile/view/1888504","19-1888504")</f>
        <v>0</v>
      </c>
      <c r="B609" t="s">
        <v>13</v>
      </c>
      <c r="C609" t="s">
        <v>29</v>
      </c>
      <c r="D609" t="s">
        <v>564</v>
      </c>
      <c r="E609" t="s">
        <v>1807</v>
      </c>
      <c r="F609" t="s">
        <v>1853</v>
      </c>
      <c r="H609" t="s">
        <v>1863</v>
      </c>
      <c r="J609" t="s">
        <v>1869</v>
      </c>
    </row>
    <row r="610" spans="1:10">
      <c r="A610" s="1">
        <f>HYPERLINK("https://cms.ls-nyc.org/matter/dynamic-profile/view/1887060","19-1887060")</f>
        <v>0</v>
      </c>
      <c r="B610" t="s">
        <v>12</v>
      </c>
      <c r="C610" t="s">
        <v>21</v>
      </c>
      <c r="D610" t="s">
        <v>565</v>
      </c>
      <c r="E610" t="s">
        <v>1809</v>
      </c>
      <c r="F610" t="s">
        <v>1858</v>
      </c>
      <c r="H610" t="s">
        <v>1863</v>
      </c>
      <c r="J610" t="s">
        <v>1868</v>
      </c>
    </row>
    <row r="611" spans="1:10">
      <c r="A611" s="1">
        <f>HYPERLINK("https://cms.ls-nyc.org/matter/dynamic-profile/view/1888398","19-1888398")</f>
        <v>0</v>
      </c>
      <c r="B611" t="s">
        <v>11</v>
      </c>
      <c r="C611" t="s">
        <v>39</v>
      </c>
      <c r="D611" t="s">
        <v>566</v>
      </c>
      <c r="E611" t="s">
        <v>1816</v>
      </c>
      <c r="F611" t="s">
        <v>1858</v>
      </c>
      <c r="H611" t="s">
        <v>1863</v>
      </c>
      <c r="J611" t="s">
        <v>1868</v>
      </c>
    </row>
    <row r="612" spans="1:10">
      <c r="A612" s="1">
        <f>HYPERLINK("https://cms.ls-nyc.org/matter/dynamic-profile/view/1888322","19-1888322")</f>
        <v>0</v>
      </c>
      <c r="B612" t="s">
        <v>14</v>
      </c>
      <c r="C612" t="s">
        <v>31</v>
      </c>
      <c r="D612" t="s">
        <v>567</v>
      </c>
      <c r="E612" t="s">
        <v>1810</v>
      </c>
      <c r="F612" t="s">
        <v>1859</v>
      </c>
      <c r="H612" t="s">
        <v>1863</v>
      </c>
      <c r="J612" t="s">
        <v>1868</v>
      </c>
    </row>
    <row r="613" spans="1:10">
      <c r="A613" s="1">
        <f>HYPERLINK("https://cms.ls-nyc.org/matter/dynamic-profile/view/1888287","19-1888287")</f>
        <v>0</v>
      </c>
      <c r="B613" t="s">
        <v>15</v>
      </c>
      <c r="C613" t="s">
        <v>35</v>
      </c>
      <c r="D613" t="s">
        <v>568</v>
      </c>
      <c r="E613" t="s">
        <v>1808</v>
      </c>
      <c r="F613" t="s">
        <v>1857</v>
      </c>
      <c r="H613" t="s">
        <v>1863</v>
      </c>
      <c r="J613" t="s">
        <v>1868</v>
      </c>
    </row>
    <row r="614" spans="1:10">
      <c r="A614" s="1">
        <f>HYPERLINK("https://cms.ls-nyc.org/matter/dynamic-profile/view/1888276","19-1888276")</f>
        <v>0</v>
      </c>
      <c r="B614" t="s">
        <v>14</v>
      </c>
      <c r="C614" t="s">
        <v>42</v>
      </c>
      <c r="D614" t="s">
        <v>191</v>
      </c>
      <c r="E614" t="s">
        <v>1803</v>
      </c>
      <c r="F614" t="s">
        <v>1855</v>
      </c>
      <c r="H614" t="s">
        <v>1863</v>
      </c>
      <c r="J614" t="s">
        <v>1871</v>
      </c>
    </row>
    <row r="615" spans="1:10">
      <c r="A615" s="1">
        <f>HYPERLINK("https://cms.ls-nyc.org/matter/dynamic-profile/view/1888283","19-1888283")</f>
        <v>0</v>
      </c>
      <c r="B615" t="s">
        <v>14</v>
      </c>
      <c r="C615" t="s">
        <v>42</v>
      </c>
      <c r="D615" t="s">
        <v>235</v>
      </c>
      <c r="E615" t="s">
        <v>1803</v>
      </c>
      <c r="F615" t="s">
        <v>1855</v>
      </c>
      <c r="H615" t="s">
        <v>1863</v>
      </c>
      <c r="J615" t="s">
        <v>1870</v>
      </c>
    </row>
    <row r="616" spans="1:10">
      <c r="A616" s="1">
        <f>HYPERLINK("https://cms.ls-nyc.org/matter/dynamic-profile/view/1888295","19-1888295")</f>
        <v>0</v>
      </c>
      <c r="B616" t="s">
        <v>13</v>
      </c>
      <c r="C616" t="s">
        <v>22</v>
      </c>
      <c r="D616" t="s">
        <v>569</v>
      </c>
      <c r="E616" t="s">
        <v>1807</v>
      </c>
      <c r="F616" t="s">
        <v>1853</v>
      </c>
      <c r="H616" t="s">
        <v>1863</v>
      </c>
      <c r="J616" t="s">
        <v>1869</v>
      </c>
    </row>
    <row r="617" spans="1:10">
      <c r="A617" s="1">
        <f>HYPERLINK("https://cms.ls-nyc.org/matter/dynamic-profile/view/1888344","19-1888344")</f>
        <v>0</v>
      </c>
      <c r="B617" t="s">
        <v>12</v>
      </c>
      <c r="C617" t="s">
        <v>49</v>
      </c>
      <c r="D617" t="s">
        <v>570</v>
      </c>
      <c r="E617" t="s">
        <v>1821</v>
      </c>
      <c r="G617" t="s">
        <v>1861</v>
      </c>
      <c r="J617" t="s">
        <v>1867</v>
      </c>
    </row>
    <row r="618" spans="1:10">
      <c r="A618" s="1">
        <f>HYPERLINK("https://cms.ls-nyc.org/matter/dynamic-profile/view/1888352","19-1888352")</f>
        <v>0</v>
      </c>
      <c r="B618" t="s">
        <v>12</v>
      </c>
      <c r="C618" t="s">
        <v>49</v>
      </c>
      <c r="D618" t="s">
        <v>570</v>
      </c>
      <c r="E618" t="s">
        <v>1816</v>
      </c>
      <c r="G618" t="s">
        <v>1861</v>
      </c>
      <c r="J618" t="s">
        <v>1867</v>
      </c>
    </row>
    <row r="619" spans="1:10">
      <c r="A619" s="1">
        <f>HYPERLINK("https://cms.ls-nyc.org/matter/dynamic-profile/view/1888354","19-1888354")</f>
        <v>0</v>
      </c>
      <c r="B619" t="s">
        <v>12</v>
      </c>
      <c r="C619" t="s">
        <v>49</v>
      </c>
      <c r="D619" t="s">
        <v>570</v>
      </c>
      <c r="E619" t="s">
        <v>1804</v>
      </c>
      <c r="G619" t="s">
        <v>1861</v>
      </c>
      <c r="J619" t="s">
        <v>1867</v>
      </c>
    </row>
    <row r="620" spans="1:10">
      <c r="A620" s="1">
        <f>HYPERLINK("https://cms.ls-nyc.org/matter/dynamic-profile/view/1888356","19-1888356")</f>
        <v>0</v>
      </c>
      <c r="B620" t="s">
        <v>11</v>
      </c>
      <c r="C620" t="s">
        <v>32</v>
      </c>
      <c r="D620" t="s">
        <v>507</v>
      </c>
      <c r="E620" t="s">
        <v>1816</v>
      </c>
      <c r="F620" t="s">
        <v>1853</v>
      </c>
      <c r="H620" t="s">
        <v>1863</v>
      </c>
      <c r="J620" t="s">
        <v>1867</v>
      </c>
    </row>
    <row r="621" spans="1:10">
      <c r="A621" s="1">
        <f>HYPERLINK("https://cms.ls-nyc.org/matter/dynamic-profile/view/1888387","19-1888387")</f>
        <v>0</v>
      </c>
      <c r="B621" t="s">
        <v>14</v>
      </c>
      <c r="C621" t="s">
        <v>31</v>
      </c>
      <c r="D621" t="s">
        <v>571</v>
      </c>
      <c r="E621" t="s">
        <v>1821</v>
      </c>
      <c r="F621" t="s">
        <v>1853</v>
      </c>
      <c r="H621" t="s">
        <v>1863</v>
      </c>
      <c r="J621" t="s">
        <v>1869</v>
      </c>
    </row>
    <row r="622" spans="1:10">
      <c r="A622" s="1">
        <f>HYPERLINK("https://cms.ls-nyc.org/matter/dynamic-profile/view/1888392","19-1888392")</f>
        <v>0</v>
      </c>
      <c r="B622" t="s">
        <v>11</v>
      </c>
      <c r="C622" t="s">
        <v>39</v>
      </c>
      <c r="D622" t="s">
        <v>572</v>
      </c>
      <c r="E622" t="s">
        <v>1814</v>
      </c>
      <c r="F622" t="s">
        <v>1853</v>
      </c>
      <c r="H622" t="s">
        <v>1863</v>
      </c>
      <c r="J622" t="s">
        <v>1869</v>
      </c>
    </row>
    <row r="623" spans="1:10">
      <c r="A623" s="1">
        <f>HYPERLINK("https://cms.ls-nyc.org/matter/dynamic-profile/view/1888494","19-1888494")</f>
        <v>0</v>
      </c>
      <c r="B623" t="s">
        <v>13</v>
      </c>
      <c r="C623" t="s">
        <v>43</v>
      </c>
      <c r="D623" t="s">
        <v>573</v>
      </c>
      <c r="E623" t="s">
        <v>1809</v>
      </c>
      <c r="F623" t="s">
        <v>1855</v>
      </c>
      <c r="H623" t="s">
        <v>1863</v>
      </c>
      <c r="J623" t="s">
        <v>1870</v>
      </c>
    </row>
    <row r="624" spans="1:10">
      <c r="A624" s="1">
        <f>HYPERLINK("https://cms.ls-nyc.org/matter/dynamic-profile/view/1888498","19-1888498")</f>
        <v>0</v>
      </c>
      <c r="B624" t="s">
        <v>13</v>
      </c>
      <c r="C624" t="s">
        <v>43</v>
      </c>
      <c r="D624" t="s">
        <v>573</v>
      </c>
      <c r="F624" t="s">
        <v>1857</v>
      </c>
      <c r="H624" t="s">
        <v>1863</v>
      </c>
      <c r="J624" t="s">
        <v>1869</v>
      </c>
    </row>
    <row r="625" spans="1:10">
      <c r="A625" s="1">
        <f>HYPERLINK("https://cms.ls-nyc.org/matter/dynamic-profile/view/1888500","19-1888500")</f>
        <v>0</v>
      </c>
      <c r="B625" t="s">
        <v>13</v>
      </c>
      <c r="C625" t="s">
        <v>43</v>
      </c>
      <c r="D625" t="s">
        <v>574</v>
      </c>
      <c r="E625" t="s">
        <v>1803</v>
      </c>
      <c r="F625" t="s">
        <v>1855</v>
      </c>
      <c r="H625" t="s">
        <v>1863</v>
      </c>
      <c r="J625" t="s">
        <v>1871</v>
      </c>
    </row>
    <row r="626" spans="1:10">
      <c r="A626" s="1">
        <f>HYPERLINK("https://cms.ls-nyc.org/matter/dynamic-profile/view/1888501","19-1888501")</f>
        <v>0</v>
      </c>
      <c r="B626" t="s">
        <v>13</v>
      </c>
      <c r="C626" t="s">
        <v>29</v>
      </c>
      <c r="D626" t="s">
        <v>575</v>
      </c>
      <c r="E626" t="s">
        <v>1807</v>
      </c>
      <c r="F626" t="s">
        <v>1853</v>
      </c>
      <c r="H626" t="s">
        <v>1863</v>
      </c>
      <c r="J626" t="s">
        <v>1869</v>
      </c>
    </row>
    <row r="627" spans="1:10">
      <c r="A627" s="1">
        <f>HYPERLINK("https://cms.ls-nyc.org/matter/dynamic-profile/view/1888505","19-1888505")</f>
        <v>0</v>
      </c>
      <c r="B627" t="s">
        <v>13</v>
      </c>
      <c r="C627" t="s">
        <v>29</v>
      </c>
      <c r="D627" t="s">
        <v>576</v>
      </c>
      <c r="E627" t="s">
        <v>1807</v>
      </c>
      <c r="F627" t="s">
        <v>1853</v>
      </c>
      <c r="G627" t="s">
        <v>1861</v>
      </c>
      <c r="H627" t="s">
        <v>1864</v>
      </c>
      <c r="J627" t="s">
        <v>1869</v>
      </c>
    </row>
    <row r="628" spans="1:10">
      <c r="A628" s="1">
        <f>HYPERLINK("https://cms.ls-nyc.org/matter/dynamic-profile/view/1888508","19-1888508")</f>
        <v>0</v>
      </c>
      <c r="B628" t="s">
        <v>13</v>
      </c>
      <c r="C628" t="s">
        <v>43</v>
      </c>
      <c r="D628" t="s">
        <v>577</v>
      </c>
      <c r="E628" t="s">
        <v>1809</v>
      </c>
      <c r="F628" t="s">
        <v>1855</v>
      </c>
      <c r="H628" t="s">
        <v>1863</v>
      </c>
      <c r="J628" t="s">
        <v>1870</v>
      </c>
    </row>
    <row r="629" spans="1:10">
      <c r="A629" s="1">
        <f>HYPERLINK("https://cms.ls-nyc.org/matter/dynamic-profile/view/1888510","19-1888510")</f>
        <v>0</v>
      </c>
      <c r="B629" t="s">
        <v>13</v>
      </c>
      <c r="C629" t="s">
        <v>43</v>
      </c>
      <c r="D629" t="s">
        <v>578</v>
      </c>
      <c r="E629" t="s">
        <v>1809</v>
      </c>
      <c r="F629" t="s">
        <v>1855</v>
      </c>
      <c r="H629" t="s">
        <v>1863</v>
      </c>
      <c r="J629" t="s">
        <v>1870</v>
      </c>
    </row>
    <row r="630" spans="1:10">
      <c r="A630" s="1">
        <f>HYPERLINK("https://cms.ls-nyc.org/matter/dynamic-profile/view/1888529","19-1888529")</f>
        <v>0</v>
      </c>
      <c r="B630" t="s">
        <v>11</v>
      </c>
      <c r="C630" t="s">
        <v>18</v>
      </c>
      <c r="D630" t="s">
        <v>579</v>
      </c>
      <c r="E630" t="s">
        <v>1802</v>
      </c>
      <c r="F630" t="s">
        <v>1853</v>
      </c>
      <c r="H630" t="s">
        <v>1863</v>
      </c>
      <c r="J630" t="s">
        <v>1869</v>
      </c>
    </row>
    <row r="631" spans="1:10">
      <c r="A631" s="1">
        <f>HYPERLINK("https://cms.ls-nyc.org/matter/dynamic-profile/view/1888154","19-1888154")</f>
        <v>0</v>
      </c>
      <c r="B631" t="s">
        <v>15</v>
      </c>
      <c r="C631" t="s">
        <v>35</v>
      </c>
      <c r="D631" t="s">
        <v>580</v>
      </c>
      <c r="F631" t="s">
        <v>1857</v>
      </c>
      <c r="H631" t="s">
        <v>1863</v>
      </c>
      <c r="J631" t="s">
        <v>1869</v>
      </c>
    </row>
    <row r="632" spans="1:10">
      <c r="A632" s="1">
        <f>HYPERLINK("https://cms.ls-nyc.org/matter/dynamic-profile/view/1888254","19-1888254")</f>
        <v>0</v>
      </c>
      <c r="B632" t="s">
        <v>14</v>
      </c>
      <c r="C632" t="s">
        <v>31</v>
      </c>
      <c r="D632" t="s">
        <v>581</v>
      </c>
      <c r="E632" t="s">
        <v>1821</v>
      </c>
      <c r="F632" t="s">
        <v>1858</v>
      </c>
      <c r="G632" t="s">
        <v>1861</v>
      </c>
      <c r="H632" t="s">
        <v>1864</v>
      </c>
      <c r="J632" t="s">
        <v>1868</v>
      </c>
    </row>
    <row r="633" spans="1:10">
      <c r="A633" s="1">
        <f>HYPERLINK("https://cms.ls-nyc.org/matter/dynamic-profile/view/1888172","19-1888172")</f>
        <v>0</v>
      </c>
      <c r="B633" t="s">
        <v>12</v>
      </c>
      <c r="C633" t="s">
        <v>53</v>
      </c>
      <c r="D633" t="s">
        <v>582</v>
      </c>
      <c r="E633" t="s">
        <v>1807</v>
      </c>
      <c r="F633" t="s">
        <v>1856</v>
      </c>
      <c r="H633" t="s">
        <v>1863</v>
      </c>
      <c r="J633" t="s">
        <v>1869</v>
      </c>
    </row>
    <row r="634" spans="1:10">
      <c r="A634" s="1">
        <f>HYPERLINK("https://cms.ls-nyc.org/matter/dynamic-profile/view/1888151","19-1888151")</f>
        <v>0</v>
      </c>
      <c r="B634" t="s">
        <v>15</v>
      </c>
      <c r="C634" t="s">
        <v>35</v>
      </c>
      <c r="D634" t="s">
        <v>580</v>
      </c>
      <c r="E634" t="s">
        <v>1809</v>
      </c>
      <c r="F634" t="s">
        <v>1855</v>
      </c>
      <c r="H634" t="s">
        <v>1863</v>
      </c>
      <c r="J634" t="s">
        <v>1870</v>
      </c>
    </row>
    <row r="635" spans="1:10">
      <c r="A635" s="1">
        <f>HYPERLINK("https://cms.ls-nyc.org/matter/dynamic-profile/view/1888162","19-1888162")</f>
        <v>0</v>
      </c>
      <c r="B635" t="s">
        <v>14</v>
      </c>
      <c r="C635" t="s">
        <v>42</v>
      </c>
      <c r="D635" t="s">
        <v>583</v>
      </c>
      <c r="E635" t="s">
        <v>1807</v>
      </c>
      <c r="F635" t="s">
        <v>1853</v>
      </c>
      <c r="H635" t="s">
        <v>1863</v>
      </c>
      <c r="J635" t="s">
        <v>1869</v>
      </c>
    </row>
    <row r="636" spans="1:10">
      <c r="A636" s="1">
        <f>HYPERLINK("https://cms.ls-nyc.org/matter/dynamic-profile/view/1888175","19-1888175")</f>
        <v>0</v>
      </c>
      <c r="B636" t="s">
        <v>14</v>
      </c>
      <c r="C636" t="s">
        <v>42</v>
      </c>
      <c r="D636" t="s">
        <v>584</v>
      </c>
      <c r="E636" t="s">
        <v>1809</v>
      </c>
      <c r="F636" t="s">
        <v>1855</v>
      </c>
      <c r="H636" t="s">
        <v>1863</v>
      </c>
      <c r="J636" t="s">
        <v>1870</v>
      </c>
    </row>
    <row r="637" spans="1:10">
      <c r="A637" s="1">
        <f>HYPERLINK("https://cms.ls-nyc.org/matter/dynamic-profile/view/1888187","19-1888187")</f>
        <v>0</v>
      </c>
      <c r="B637" t="s">
        <v>14</v>
      </c>
      <c r="C637" t="s">
        <v>42</v>
      </c>
      <c r="D637" t="s">
        <v>584</v>
      </c>
      <c r="E637" t="s">
        <v>1837</v>
      </c>
      <c r="F637" t="s">
        <v>1857</v>
      </c>
      <c r="H637" t="s">
        <v>1863</v>
      </c>
      <c r="J637" t="s">
        <v>1866</v>
      </c>
    </row>
    <row r="638" spans="1:10">
      <c r="A638" s="1">
        <f>HYPERLINK("https://cms.ls-nyc.org/matter/dynamic-profile/view/1888193","19-1888193")</f>
        <v>0</v>
      </c>
      <c r="B638" t="s">
        <v>10</v>
      </c>
      <c r="C638" t="s">
        <v>16</v>
      </c>
      <c r="D638" t="s">
        <v>585</v>
      </c>
      <c r="F638" t="s">
        <v>1855</v>
      </c>
      <c r="H638" t="s">
        <v>1863</v>
      </c>
      <c r="J638" t="s">
        <v>1866</v>
      </c>
    </row>
    <row r="639" spans="1:10">
      <c r="A639" s="1">
        <f>HYPERLINK("https://cms.ls-nyc.org/matter/dynamic-profile/view/1888226","19-1888226")</f>
        <v>0</v>
      </c>
      <c r="B639" t="s">
        <v>14</v>
      </c>
      <c r="C639" t="s">
        <v>42</v>
      </c>
      <c r="D639" t="s">
        <v>586</v>
      </c>
      <c r="E639" t="s">
        <v>1803</v>
      </c>
      <c r="F639" t="s">
        <v>1855</v>
      </c>
      <c r="H639" t="s">
        <v>1863</v>
      </c>
      <c r="J639" t="s">
        <v>1871</v>
      </c>
    </row>
    <row r="640" spans="1:10">
      <c r="A640" s="1">
        <f>HYPERLINK("https://cms.ls-nyc.org/matter/dynamic-profile/view/1888257","19-1888257")</f>
        <v>0</v>
      </c>
      <c r="B640" t="s">
        <v>14</v>
      </c>
      <c r="C640" t="s">
        <v>25</v>
      </c>
      <c r="D640" t="s">
        <v>587</v>
      </c>
      <c r="E640" t="s">
        <v>1838</v>
      </c>
      <c r="F640" t="s">
        <v>1858</v>
      </c>
      <c r="H640" t="s">
        <v>1863</v>
      </c>
      <c r="J640" t="s">
        <v>1868</v>
      </c>
    </row>
    <row r="641" spans="1:10">
      <c r="A641" s="1">
        <f>HYPERLINK("https://cms.ls-nyc.org/matter/dynamic-profile/view/1888012","19-1888012")</f>
        <v>0</v>
      </c>
      <c r="B641" t="s">
        <v>12</v>
      </c>
      <c r="C641" t="s">
        <v>50</v>
      </c>
      <c r="D641" t="s">
        <v>588</v>
      </c>
      <c r="E641" t="s">
        <v>1826</v>
      </c>
      <c r="F641" t="s">
        <v>1853</v>
      </c>
      <c r="H641" t="s">
        <v>1863</v>
      </c>
      <c r="J641" t="s">
        <v>1867</v>
      </c>
    </row>
    <row r="642" spans="1:10">
      <c r="A642" s="1">
        <f>HYPERLINK("https://cms.ls-nyc.org/matter/dynamic-profile/view/1885191","18-1885191")</f>
        <v>0</v>
      </c>
      <c r="B642" t="s">
        <v>13</v>
      </c>
      <c r="C642" t="s">
        <v>29</v>
      </c>
      <c r="D642" t="s">
        <v>589</v>
      </c>
      <c r="E642" t="s">
        <v>1807</v>
      </c>
      <c r="F642" t="s">
        <v>1853</v>
      </c>
      <c r="H642" t="s">
        <v>1863</v>
      </c>
      <c r="J642" t="s">
        <v>1869</v>
      </c>
    </row>
    <row r="643" spans="1:10">
      <c r="A643" s="1">
        <f>HYPERLINK("https://cms.ls-nyc.org/matter/dynamic-profile/view/1888089","19-1888089")</f>
        <v>0</v>
      </c>
      <c r="B643" t="s">
        <v>11</v>
      </c>
      <c r="C643" t="s">
        <v>38</v>
      </c>
      <c r="D643" t="s">
        <v>414</v>
      </c>
      <c r="E643" t="s">
        <v>1823</v>
      </c>
      <c r="F643" t="s">
        <v>1853</v>
      </c>
      <c r="H643" t="s">
        <v>1863</v>
      </c>
      <c r="J643" t="s">
        <v>1869</v>
      </c>
    </row>
    <row r="644" spans="1:10">
      <c r="A644" s="1">
        <f>HYPERLINK("https://cms.ls-nyc.org/matter/dynamic-profile/view/1888118","19-1888118")</f>
        <v>0</v>
      </c>
      <c r="B644" t="s">
        <v>10</v>
      </c>
      <c r="C644" t="s">
        <v>30</v>
      </c>
      <c r="D644" t="s">
        <v>590</v>
      </c>
      <c r="E644" t="s">
        <v>1815</v>
      </c>
      <c r="F644" t="s">
        <v>1853</v>
      </c>
      <c r="H644" t="s">
        <v>1863</v>
      </c>
      <c r="J644" t="s">
        <v>1867</v>
      </c>
    </row>
    <row r="645" spans="1:10">
      <c r="A645" s="1">
        <f>HYPERLINK("https://cms.ls-nyc.org/matter/dynamic-profile/view/1888143","19-1888143")</f>
        <v>0</v>
      </c>
      <c r="B645" t="s">
        <v>13</v>
      </c>
      <c r="C645" t="s">
        <v>29</v>
      </c>
      <c r="D645" t="s">
        <v>591</v>
      </c>
      <c r="E645" t="s">
        <v>1802</v>
      </c>
      <c r="F645" t="s">
        <v>1853</v>
      </c>
      <c r="H645" t="s">
        <v>1863</v>
      </c>
      <c r="J645" t="s">
        <v>1869</v>
      </c>
    </row>
    <row r="646" spans="1:10">
      <c r="A646" s="1">
        <f>HYPERLINK("https://cms.ls-nyc.org/matter/dynamic-profile/view/1887881","19-1887881")</f>
        <v>0</v>
      </c>
      <c r="B646" t="s">
        <v>10</v>
      </c>
      <c r="C646" t="s">
        <v>44</v>
      </c>
      <c r="D646" t="s">
        <v>592</v>
      </c>
      <c r="E646" t="s">
        <v>1815</v>
      </c>
      <c r="F646" t="s">
        <v>1856</v>
      </c>
      <c r="H646" t="s">
        <v>1863</v>
      </c>
      <c r="J646" t="s">
        <v>1866</v>
      </c>
    </row>
    <row r="647" spans="1:10">
      <c r="A647" s="1">
        <f>HYPERLINK("https://cms.ls-nyc.org/matter/dynamic-profile/view/1887996","19-1887996")</f>
        <v>0</v>
      </c>
      <c r="B647" t="s">
        <v>14</v>
      </c>
      <c r="C647" t="s">
        <v>28</v>
      </c>
      <c r="D647" t="s">
        <v>593</v>
      </c>
      <c r="E647" t="s">
        <v>1824</v>
      </c>
      <c r="F647" t="s">
        <v>1855</v>
      </c>
      <c r="H647" t="s">
        <v>1863</v>
      </c>
      <c r="J647" t="s">
        <v>1871</v>
      </c>
    </row>
    <row r="648" spans="1:10">
      <c r="A648" s="1">
        <f>HYPERLINK("https://cms.ls-nyc.org/matter/dynamic-profile/view/1888415","19-1888415")</f>
        <v>0</v>
      </c>
      <c r="B648" t="s">
        <v>12</v>
      </c>
      <c r="C648" t="s">
        <v>49</v>
      </c>
      <c r="D648" t="s">
        <v>380</v>
      </c>
      <c r="E648" t="s">
        <v>1816</v>
      </c>
      <c r="G648" t="s">
        <v>1861</v>
      </c>
      <c r="J648" t="s">
        <v>1867</v>
      </c>
    </row>
    <row r="649" spans="1:10">
      <c r="A649" s="1">
        <f>HYPERLINK("https://cms.ls-nyc.org/matter/dynamic-profile/view/1880523","18-1880523")</f>
        <v>0</v>
      </c>
      <c r="B649" t="s">
        <v>11</v>
      </c>
      <c r="C649" t="s">
        <v>18</v>
      </c>
      <c r="D649" t="s">
        <v>521</v>
      </c>
      <c r="E649" t="s">
        <v>1839</v>
      </c>
      <c r="F649" t="s">
        <v>1859</v>
      </c>
      <c r="H649" t="s">
        <v>1863</v>
      </c>
      <c r="J649" t="s">
        <v>1868</v>
      </c>
    </row>
    <row r="650" spans="1:10">
      <c r="A650" s="1">
        <f>HYPERLINK("https://cms.ls-nyc.org/matter/dynamic-profile/view/1887772","19-1887772")</f>
        <v>0</v>
      </c>
      <c r="B650" t="s">
        <v>10</v>
      </c>
      <c r="C650" t="s">
        <v>16</v>
      </c>
      <c r="D650" t="s">
        <v>594</v>
      </c>
      <c r="E650" t="s">
        <v>1815</v>
      </c>
      <c r="F650" t="s">
        <v>1853</v>
      </c>
      <c r="H650" t="s">
        <v>1863</v>
      </c>
      <c r="J650" t="s">
        <v>1867</v>
      </c>
    </row>
    <row r="651" spans="1:10">
      <c r="A651" s="1">
        <f>HYPERLINK("https://cms.ls-nyc.org/matter/dynamic-profile/view/1887807","19-1887807")</f>
        <v>0</v>
      </c>
      <c r="B651" t="s">
        <v>10</v>
      </c>
      <c r="C651" t="s">
        <v>17</v>
      </c>
      <c r="D651" t="s">
        <v>595</v>
      </c>
      <c r="E651" t="s">
        <v>1807</v>
      </c>
      <c r="F651" t="s">
        <v>1853</v>
      </c>
      <c r="H651" t="s">
        <v>1863</v>
      </c>
      <c r="J651" t="s">
        <v>1869</v>
      </c>
    </row>
    <row r="652" spans="1:10">
      <c r="A652" s="1">
        <f>HYPERLINK("https://cms.ls-nyc.org/matter/dynamic-profile/view/1887816","19-1887816")</f>
        <v>0</v>
      </c>
      <c r="B652" t="s">
        <v>15</v>
      </c>
      <c r="C652" t="s">
        <v>35</v>
      </c>
      <c r="D652" t="s">
        <v>596</v>
      </c>
      <c r="E652" t="s">
        <v>1803</v>
      </c>
      <c r="F652" t="s">
        <v>1855</v>
      </c>
      <c r="H652" t="s">
        <v>1863</v>
      </c>
      <c r="J652" t="s">
        <v>1870</v>
      </c>
    </row>
    <row r="653" spans="1:10">
      <c r="A653" s="1">
        <f>HYPERLINK("https://cms.ls-nyc.org/matter/dynamic-profile/view/1887821","19-1887821")</f>
        <v>0</v>
      </c>
      <c r="B653" t="s">
        <v>15</v>
      </c>
      <c r="C653" t="s">
        <v>35</v>
      </c>
      <c r="D653" t="s">
        <v>596</v>
      </c>
      <c r="E653" t="s">
        <v>1802</v>
      </c>
      <c r="F653" t="s">
        <v>1853</v>
      </c>
      <c r="H653" t="s">
        <v>1863</v>
      </c>
      <c r="J653" t="s">
        <v>1869</v>
      </c>
    </row>
    <row r="654" spans="1:10">
      <c r="A654" s="1">
        <f>HYPERLINK("https://cms.ls-nyc.org/matter/dynamic-profile/view/1888095","19-1888095")</f>
        <v>0</v>
      </c>
      <c r="B654" t="s">
        <v>11</v>
      </c>
      <c r="C654" t="s">
        <v>39</v>
      </c>
      <c r="D654" t="s">
        <v>597</v>
      </c>
      <c r="E654" t="s">
        <v>1809</v>
      </c>
      <c r="F654" t="s">
        <v>1853</v>
      </c>
      <c r="H654" t="s">
        <v>1863</v>
      </c>
      <c r="J654" t="s">
        <v>1870</v>
      </c>
    </row>
    <row r="655" spans="1:10">
      <c r="A655" s="1">
        <f>HYPERLINK("https://cms.ls-nyc.org/matter/dynamic-profile/view/1888101","19-1888101")</f>
        <v>0</v>
      </c>
      <c r="B655" t="s">
        <v>11</v>
      </c>
      <c r="C655" t="s">
        <v>39</v>
      </c>
      <c r="D655" t="s">
        <v>597</v>
      </c>
      <c r="E655" t="s">
        <v>1802</v>
      </c>
      <c r="F655" t="s">
        <v>1853</v>
      </c>
      <c r="H655" t="s">
        <v>1863</v>
      </c>
      <c r="J655" t="s">
        <v>1869</v>
      </c>
    </row>
    <row r="656" spans="1:10">
      <c r="A656" s="1">
        <f>HYPERLINK("https://cms.ls-nyc.org/matter/dynamic-profile/view/1888126","19-1888126")</f>
        <v>0</v>
      </c>
      <c r="B656" t="s">
        <v>11</v>
      </c>
      <c r="C656" t="s">
        <v>37</v>
      </c>
      <c r="D656" t="s">
        <v>131</v>
      </c>
      <c r="E656" t="s">
        <v>1809</v>
      </c>
      <c r="F656" t="s">
        <v>1855</v>
      </c>
      <c r="H656" t="s">
        <v>1863</v>
      </c>
      <c r="J656" t="s">
        <v>1870</v>
      </c>
    </row>
    <row r="657" spans="1:10">
      <c r="A657" s="1">
        <f>HYPERLINK("https://cms.ls-nyc.org/matter/dynamic-profile/view/1888128","19-1888128")</f>
        <v>0</v>
      </c>
      <c r="B657" t="s">
        <v>11</v>
      </c>
      <c r="C657" t="s">
        <v>37</v>
      </c>
      <c r="D657" t="s">
        <v>131</v>
      </c>
      <c r="E657" t="s">
        <v>1802</v>
      </c>
      <c r="F657" t="s">
        <v>1853</v>
      </c>
      <c r="H657" t="s">
        <v>1863</v>
      </c>
      <c r="J657" t="s">
        <v>1869</v>
      </c>
    </row>
    <row r="658" spans="1:10">
      <c r="A658" s="1">
        <f>HYPERLINK("https://cms.ls-nyc.org/matter/dynamic-profile/view/1888702","19-1888702")</f>
        <v>0</v>
      </c>
      <c r="B658" t="s">
        <v>11</v>
      </c>
      <c r="C658" t="s">
        <v>18</v>
      </c>
      <c r="D658" t="s">
        <v>598</v>
      </c>
      <c r="E658" t="s">
        <v>1809</v>
      </c>
      <c r="F658" t="s">
        <v>1855</v>
      </c>
      <c r="H658" t="s">
        <v>1863</v>
      </c>
      <c r="J658" t="s">
        <v>1871</v>
      </c>
    </row>
    <row r="659" spans="1:10">
      <c r="A659" s="1">
        <f>HYPERLINK("https://cms.ls-nyc.org/matter/dynamic-profile/view/1887636","19-1887636")</f>
        <v>0</v>
      </c>
      <c r="B659" t="s">
        <v>14</v>
      </c>
      <c r="C659" t="s">
        <v>28</v>
      </c>
      <c r="D659" t="s">
        <v>599</v>
      </c>
      <c r="E659" t="s">
        <v>1800</v>
      </c>
      <c r="F659" t="s">
        <v>1859</v>
      </c>
      <c r="G659" t="s">
        <v>1861</v>
      </c>
      <c r="H659" t="s">
        <v>1864</v>
      </c>
      <c r="J659" t="s">
        <v>1868</v>
      </c>
    </row>
    <row r="660" spans="1:10">
      <c r="A660" s="1">
        <f>HYPERLINK("https://cms.ls-nyc.org/matter/dynamic-profile/view/1887644","19-1887644")</f>
        <v>0</v>
      </c>
      <c r="B660" t="s">
        <v>14</v>
      </c>
      <c r="C660" t="s">
        <v>28</v>
      </c>
      <c r="D660" t="s">
        <v>600</v>
      </c>
      <c r="E660" t="s">
        <v>1800</v>
      </c>
      <c r="F660" t="s">
        <v>1859</v>
      </c>
      <c r="G660" t="s">
        <v>1861</v>
      </c>
      <c r="H660" t="s">
        <v>1864</v>
      </c>
      <c r="J660" t="s">
        <v>1868</v>
      </c>
    </row>
    <row r="661" spans="1:10">
      <c r="A661" s="1">
        <f>HYPERLINK("https://cms.ls-nyc.org/matter/dynamic-profile/view/1887650","19-1887650")</f>
        <v>0</v>
      </c>
      <c r="B661" t="s">
        <v>14</v>
      </c>
      <c r="C661" t="s">
        <v>28</v>
      </c>
      <c r="D661" t="s">
        <v>601</v>
      </c>
      <c r="E661" t="s">
        <v>1800</v>
      </c>
      <c r="F661" t="s">
        <v>1859</v>
      </c>
      <c r="G661" t="s">
        <v>1861</v>
      </c>
      <c r="H661" t="s">
        <v>1864</v>
      </c>
      <c r="J661" t="s">
        <v>1868</v>
      </c>
    </row>
    <row r="662" spans="1:10">
      <c r="A662" s="1">
        <f>HYPERLINK("https://cms.ls-nyc.org/matter/dynamic-profile/view/1887639","19-1887639")</f>
        <v>0</v>
      </c>
      <c r="B662" t="s">
        <v>10</v>
      </c>
      <c r="C662" t="s">
        <v>44</v>
      </c>
      <c r="D662" t="s">
        <v>602</v>
      </c>
      <c r="E662" t="s">
        <v>1815</v>
      </c>
      <c r="F662" t="s">
        <v>1858</v>
      </c>
      <c r="H662" t="s">
        <v>1863</v>
      </c>
      <c r="J662" t="s">
        <v>1868</v>
      </c>
    </row>
    <row r="663" spans="1:10">
      <c r="A663" s="1">
        <f>HYPERLINK("https://cms.ls-nyc.org/matter/dynamic-profile/view/1887553","19-1887553")</f>
        <v>0</v>
      </c>
      <c r="B663" t="s">
        <v>10</v>
      </c>
      <c r="C663" t="s">
        <v>30</v>
      </c>
      <c r="D663" t="s">
        <v>603</v>
      </c>
      <c r="E663" t="s">
        <v>1825</v>
      </c>
      <c r="F663" t="s">
        <v>1856</v>
      </c>
      <c r="H663" t="s">
        <v>1863</v>
      </c>
      <c r="J663" t="s">
        <v>1866</v>
      </c>
    </row>
    <row r="664" spans="1:10">
      <c r="A664" s="1">
        <f>HYPERLINK("https://cms.ls-nyc.org/matter/dynamic-profile/view/1887556","19-1887556")</f>
        <v>0</v>
      </c>
      <c r="B664" t="s">
        <v>10</v>
      </c>
      <c r="C664" t="s">
        <v>17</v>
      </c>
      <c r="D664" t="s">
        <v>604</v>
      </c>
      <c r="E664" t="s">
        <v>1825</v>
      </c>
      <c r="F664" t="s">
        <v>1853</v>
      </c>
      <c r="H664" t="s">
        <v>1863</v>
      </c>
      <c r="J664" t="s">
        <v>1867</v>
      </c>
    </row>
    <row r="665" spans="1:10">
      <c r="A665" s="1">
        <f>HYPERLINK("https://cms.ls-nyc.org/matter/dynamic-profile/view/1887557","19-1887557")</f>
        <v>0</v>
      </c>
      <c r="B665" t="s">
        <v>10</v>
      </c>
      <c r="C665" t="s">
        <v>17</v>
      </c>
      <c r="D665" t="s">
        <v>66</v>
      </c>
      <c r="E665" t="s">
        <v>1825</v>
      </c>
      <c r="F665" t="s">
        <v>1853</v>
      </c>
      <c r="H665" t="s">
        <v>1863</v>
      </c>
      <c r="J665" t="s">
        <v>1867</v>
      </c>
    </row>
    <row r="666" spans="1:10">
      <c r="A666" s="1">
        <f>HYPERLINK("https://cms.ls-nyc.org/matter/dynamic-profile/view/1887573","19-1887573")</f>
        <v>0</v>
      </c>
      <c r="B666" t="s">
        <v>15</v>
      </c>
      <c r="C666" t="s">
        <v>35</v>
      </c>
      <c r="D666" t="s">
        <v>605</v>
      </c>
      <c r="E666" t="s">
        <v>1803</v>
      </c>
      <c r="F666" t="s">
        <v>1855</v>
      </c>
      <c r="H666" t="s">
        <v>1863</v>
      </c>
      <c r="J666" t="s">
        <v>1870</v>
      </c>
    </row>
    <row r="667" spans="1:10">
      <c r="A667" s="1">
        <f>HYPERLINK("https://cms.ls-nyc.org/matter/dynamic-profile/view/1887579","19-1887579")</f>
        <v>0</v>
      </c>
      <c r="B667" t="s">
        <v>15</v>
      </c>
      <c r="C667" t="s">
        <v>35</v>
      </c>
      <c r="D667" t="s">
        <v>605</v>
      </c>
      <c r="E667" t="s">
        <v>1802</v>
      </c>
      <c r="F667" t="s">
        <v>1853</v>
      </c>
      <c r="H667" t="s">
        <v>1863</v>
      </c>
      <c r="J667" t="s">
        <v>1869</v>
      </c>
    </row>
    <row r="668" spans="1:10">
      <c r="A668" s="1">
        <f>HYPERLINK("https://cms.ls-nyc.org/matter/dynamic-profile/view/1887588","19-1887588")</f>
        <v>0</v>
      </c>
      <c r="B668" t="s">
        <v>15</v>
      </c>
      <c r="C668" t="s">
        <v>35</v>
      </c>
      <c r="D668" t="s">
        <v>606</v>
      </c>
      <c r="E668" t="s">
        <v>1803</v>
      </c>
      <c r="F668" t="s">
        <v>1855</v>
      </c>
      <c r="H668" t="s">
        <v>1863</v>
      </c>
      <c r="J668" t="s">
        <v>1870</v>
      </c>
    </row>
    <row r="669" spans="1:10">
      <c r="A669" s="1">
        <f>HYPERLINK("https://cms.ls-nyc.org/matter/dynamic-profile/view/1887595","19-1887595")</f>
        <v>0</v>
      </c>
      <c r="B669" t="s">
        <v>15</v>
      </c>
      <c r="C669" t="s">
        <v>35</v>
      </c>
      <c r="D669" t="s">
        <v>606</v>
      </c>
      <c r="E669" t="s">
        <v>1802</v>
      </c>
      <c r="F669" t="s">
        <v>1853</v>
      </c>
      <c r="H669" t="s">
        <v>1863</v>
      </c>
      <c r="J669" t="s">
        <v>1869</v>
      </c>
    </row>
    <row r="670" spans="1:10">
      <c r="A670" s="1">
        <f>HYPERLINK("https://cms.ls-nyc.org/matter/dynamic-profile/view/1887596","19-1887596")</f>
        <v>0</v>
      </c>
      <c r="B670" t="s">
        <v>10</v>
      </c>
      <c r="C670" t="s">
        <v>17</v>
      </c>
      <c r="D670" t="s">
        <v>607</v>
      </c>
      <c r="E670" t="s">
        <v>1804</v>
      </c>
      <c r="F670" t="s">
        <v>1853</v>
      </c>
      <c r="G670" t="s">
        <v>1861</v>
      </c>
      <c r="H670" t="s">
        <v>1863</v>
      </c>
      <c r="J670" t="s">
        <v>1867</v>
      </c>
    </row>
    <row r="671" spans="1:10">
      <c r="A671" s="1">
        <f>HYPERLINK("https://cms.ls-nyc.org/matter/dynamic-profile/view/1887607","19-1887607")</f>
        <v>0</v>
      </c>
      <c r="B671" t="s">
        <v>10</v>
      </c>
      <c r="C671" t="s">
        <v>16</v>
      </c>
      <c r="D671" t="s">
        <v>608</v>
      </c>
      <c r="E671" t="s">
        <v>1799</v>
      </c>
      <c r="F671" t="s">
        <v>1853</v>
      </c>
      <c r="H671" t="s">
        <v>1863</v>
      </c>
      <c r="J671" t="s">
        <v>1867</v>
      </c>
    </row>
    <row r="672" spans="1:10">
      <c r="A672" s="1">
        <f>HYPERLINK("https://cms.ls-nyc.org/matter/dynamic-profile/view/1887619","19-1887619")</f>
        <v>0</v>
      </c>
      <c r="B672" t="s">
        <v>14</v>
      </c>
      <c r="C672" t="s">
        <v>31</v>
      </c>
      <c r="D672" t="s">
        <v>609</v>
      </c>
      <c r="E672" t="s">
        <v>1825</v>
      </c>
      <c r="F672" t="s">
        <v>1853</v>
      </c>
      <c r="H672" t="s">
        <v>1863</v>
      </c>
      <c r="J672" t="s">
        <v>1867</v>
      </c>
    </row>
    <row r="673" spans="1:10">
      <c r="A673" s="1">
        <f>HYPERLINK("https://cms.ls-nyc.org/matter/dynamic-profile/view/1887632","19-1887632")</f>
        <v>0</v>
      </c>
      <c r="B673" t="s">
        <v>11</v>
      </c>
      <c r="C673" t="s">
        <v>36</v>
      </c>
      <c r="D673" t="s">
        <v>142</v>
      </c>
      <c r="E673" t="s">
        <v>1809</v>
      </c>
      <c r="F673" t="s">
        <v>1855</v>
      </c>
      <c r="H673" t="s">
        <v>1863</v>
      </c>
      <c r="J673" t="s">
        <v>1871</v>
      </c>
    </row>
    <row r="674" spans="1:10">
      <c r="A674" s="1">
        <f>HYPERLINK("https://cms.ls-nyc.org/matter/dynamic-profile/view/1887633","19-1887633")</f>
        <v>0</v>
      </c>
      <c r="B674" t="s">
        <v>14</v>
      </c>
      <c r="C674" t="s">
        <v>31</v>
      </c>
      <c r="D674" t="s">
        <v>610</v>
      </c>
      <c r="E674" t="s">
        <v>1825</v>
      </c>
      <c r="F674" t="s">
        <v>1853</v>
      </c>
      <c r="H674" t="s">
        <v>1863</v>
      </c>
      <c r="J674" t="s">
        <v>1867</v>
      </c>
    </row>
    <row r="675" spans="1:10">
      <c r="A675" s="1">
        <f>HYPERLINK("https://cms.ls-nyc.org/matter/dynamic-profile/view/1887666","19-1887666")</f>
        <v>0</v>
      </c>
      <c r="B675" t="s">
        <v>11</v>
      </c>
      <c r="C675" t="s">
        <v>54</v>
      </c>
      <c r="D675" t="s">
        <v>611</v>
      </c>
      <c r="E675" t="s">
        <v>1823</v>
      </c>
      <c r="F675" t="s">
        <v>1859</v>
      </c>
      <c r="H675" t="s">
        <v>1863</v>
      </c>
      <c r="J675" t="s">
        <v>1868</v>
      </c>
    </row>
    <row r="676" spans="1:10">
      <c r="A676" s="1">
        <f>HYPERLINK("https://cms.ls-nyc.org/matter/dynamic-profile/view/1887680","19-1887680")</f>
        <v>0</v>
      </c>
      <c r="B676" t="s">
        <v>10</v>
      </c>
      <c r="C676" t="s">
        <v>17</v>
      </c>
      <c r="D676" t="s">
        <v>612</v>
      </c>
      <c r="E676" t="s">
        <v>1800</v>
      </c>
      <c r="F676" t="s">
        <v>1853</v>
      </c>
      <c r="H676" t="s">
        <v>1863</v>
      </c>
      <c r="J676" t="s">
        <v>1867</v>
      </c>
    </row>
    <row r="677" spans="1:10">
      <c r="A677" s="1">
        <f>HYPERLINK("https://cms.ls-nyc.org/matter/dynamic-profile/view/1887684","19-1887684")</f>
        <v>0</v>
      </c>
      <c r="B677" t="s">
        <v>11</v>
      </c>
      <c r="C677" t="s">
        <v>39</v>
      </c>
      <c r="D677" t="s">
        <v>613</v>
      </c>
      <c r="E677" t="s">
        <v>1827</v>
      </c>
      <c r="F677" t="s">
        <v>1853</v>
      </c>
      <c r="H677" t="s">
        <v>1863</v>
      </c>
      <c r="J677" t="s">
        <v>1869</v>
      </c>
    </row>
    <row r="678" spans="1:10">
      <c r="A678" s="1">
        <f>HYPERLINK("https://cms.ls-nyc.org/matter/dynamic-profile/view/1887496","19-1887496")</f>
        <v>0</v>
      </c>
      <c r="B678" t="s">
        <v>14</v>
      </c>
      <c r="C678" t="s">
        <v>25</v>
      </c>
      <c r="D678" t="s">
        <v>614</v>
      </c>
      <c r="E678" t="s">
        <v>1810</v>
      </c>
      <c r="F678" t="s">
        <v>1858</v>
      </c>
      <c r="G678" t="s">
        <v>1861</v>
      </c>
      <c r="J678" t="s">
        <v>1868</v>
      </c>
    </row>
    <row r="679" spans="1:10">
      <c r="A679" s="1">
        <f>HYPERLINK("https://cms.ls-nyc.org/matter/dynamic-profile/view/1887481","19-1887481")</f>
        <v>0</v>
      </c>
      <c r="B679" t="s">
        <v>10</v>
      </c>
      <c r="C679" t="s">
        <v>17</v>
      </c>
      <c r="D679" t="s">
        <v>109</v>
      </c>
      <c r="E679" t="s">
        <v>1815</v>
      </c>
      <c r="F679" t="s">
        <v>1853</v>
      </c>
      <c r="H679" t="s">
        <v>1863</v>
      </c>
      <c r="J679" t="s">
        <v>1867</v>
      </c>
    </row>
    <row r="680" spans="1:10">
      <c r="A680" s="1">
        <f>HYPERLINK("https://cms.ls-nyc.org/matter/dynamic-profile/view/1887508","19-1887508")</f>
        <v>0</v>
      </c>
      <c r="B680" t="s">
        <v>11</v>
      </c>
      <c r="C680" t="s">
        <v>38</v>
      </c>
      <c r="D680" t="s">
        <v>615</v>
      </c>
      <c r="E680" t="s">
        <v>1800</v>
      </c>
      <c r="F680" t="s">
        <v>1853</v>
      </c>
      <c r="H680" t="s">
        <v>1863</v>
      </c>
      <c r="J680" t="s">
        <v>1867</v>
      </c>
    </row>
    <row r="681" spans="1:10">
      <c r="A681" s="1">
        <f>HYPERLINK("https://cms.ls-nyc.org/matter/dynamic-profile/view/1887521","19-1887521")</f>
        <v>0</v>
      </c>
      <c r="B681" t="s">
        <v>10</v>
      </c>
      <c r="C681" t="s">
        <v>30</v>
      </c>
      <c r="D681" t="s">
        <v>616</v>
      </c>
      <c r="E681" t="s">
        <v>1815</v>
      </c>
      <c r="F681" t="s">
        <v>1856</v>
      </c>
      <c r="H681" t="s">
        <v>1863</v>
      </c>
      <c r="J681" t="s">
        <v>1866</v>
      </c>
    </row>
    <row r="682" spans="1:10">
      <c r="A682" s="1">
        <f>HYPERLINK("https://cms.ls-nyc.org/matter/dynamic-profile/view/1887535","19-1887535")</f>
        <v>0</v>
      </c>
      <c r="B682" t="s">
        <v>15</v>
      </c>
      <c r="C682" t="s">
        <v>35</v>
      </c>
      <c r="D682" t="s">
        <v>617</v>
      </c>
      <c r="E682" t="s">
        <v>1808</v>
      </c>
      <c r="F682" t="s">
        <v>1857</v>
      </c>
      <c r="H682" t="s">
        <v>1863</v>
      </c>
      <c r="J682" t="s">
        <v>1867</v>
      </c>
    </row>
    <row r="683" spans="1:10">
      <c r="A683" s="1">
        <f>HYPERLINK("https://cms.ls-nyc.org/matter/dynamic-profile/view/1887332","19-1887332")</f>
        <v>0</v>
      </c>
      <c r="B683" t="s">
        <v>10</v>
      </c>
      <c r="C683" t="s">
        <v>44</v>
      </c>
      <c r="D683" t="s">
        <v>618</v>
      </c>
      <c r="E683" t="s">
        <v>1815</v>
      </c>
      <c r="F683" t="s">
        <v>1858</v>
      </c>
      <c r="H683" t="s">
        <v>1863</v>
      </c>
      <c r="J683" t="s">
        <v>1868</v>
      </c>
    </row>
    <row r="684" spans="1:10">
      <c r="A684" s="1">
        <f>HYPERLINK("https://cms.ls-nyc.org/matter/dynamic-profile/view/1887358","19-1887358")</f>
        <v>0</v>
      </c>
      <c r="B684" t="s">
        <v>10</v>
      </c>
      <c r="C684" t="s">
        <v>17</v>
      </c>
      <c r="D684" t="s">
        <v>108</v>
      </c>
      <c r="E684" t="s">
        <v>1815</v>
      </c>
      <c r="F684" t="s">
        <v>1853</v>
      </c>
      <c r="H684" t="s">
        <v>1863</v>
      </c>
      <c r="J684" t="s">
        <v>1867</v>
      </c>
    </row>
    <row r="685" spans="1:10">
      <c r="A685" s="1">
        <f>HYPERLINK("https://cms.ls-nyc.org/matter/dynamic-profile/view/1887359","19-1887359")</f>
        <v>0</v>
      </c>
      <c r="B685" t="s">
        <v>10</v>
      </c>
      <c r="C685" t="s">
        <v>17</v>
      </c>
      <c r="D685" t="s">
        <v>174</v>
      </c>
      <c r="E685" t="s">
        <v>1815</v>
      </c>
      <c r="F685" t="s">
        <v>1853</v>
      </c>
      <c r="H685" t="s">
        <v>1863</v>
      </c>
      <c r="J685" t="s">
        <v>1867</v>
      </c>
    </row>
    <row r="686" spans="1:10">
      <c r="A686" s="1">
        <f>HYPERLINK("https://cms.ls-nyc.org/matter/dynamic-profile/view/1887381","19-1887381")</f>
        <v>0</v>
      </c>
      <c r="B686" t="s">
        <v>11</v>
      </c>
      <c r="C686" t="s">
        <v>32</v>
      </c>
      <c r="D686" t="s">
        <v>619</v>
      </c>
      <c r="E686" t="s">
        <v>1830</v>
      </c>
      <c r="F686" t="s">
        <v>1853</v>
      </c>
      <c r="H686" t="s">
        <v>1863</v>
      </c>
      <c r="J686" t="s">
        <v>1869</v>
      </c>
    </row>
    <row r="687" spans="1:10">
      <c r="A687" s="1">
        <f>HYPERLINK("https://cms.ls-nyc.org/matter/dynamic-profile/view/1887383","19-1887383")</f>
        <v>0</v>
      </c>
      <c r="B687" t="s">
        <v>15</v>
      </c>
      <c r="C687" t="s">
        <v>55</v>
      </c>
      <c r="D687" t="s">
        <v>620</v>
      </c>
      <c r="E687" t="s">
        <v>1834</v>
      </c>
      <c r="F687" t="s">
        <v>1855</v>
      </c>
      <c r="H687" t="s">
        <v>1863</v>
      </c>
      <c r="J687" t="s">
        <v>1867</v>
      </c>
    </row>
    <row r="688" spans="1:10">
      <c r="A688" s="1">
        <f>HYPERLINK("https://cms.ls-nyc.org/matter/dynamic-profile/view/1887390","19-1887390")</f>
        <v>0</v>
      </c>
      <c r="B688" t="s">
        <v>11</v>
      </c>
      <c r="C688" t="s">
        <v>23</v>
      </c>
      <c r="D688" t="s">
        <v>621</v>
      </c>
      <c r="E688" t="s">
        <v>1831</v>
      </c>
      <c r="G688" t="s">
        <v>1861</v>
      </c>
      <c r="J688" t="s">
        <v>1869</v>
      </c>
    </row>
    <row r="689" spans="1:10">
      <c r="A689" s="1">
        <f>HYPERLINK("https://cms.ls-nyc.org/matter/dynamic-profile/view/1887412","19-1887412")</f>
        <v>0</v>
      </c>
      <c r="B689" t="s">
        <v>12</v>
      </c>
      <c r="C689" t="s">
        <v>49</v>
      </c>
      <c r="D689" t="s">
        <v>622</v>
      </c>
      <c r="G689" t="s">
        <v>1861</v>
      </c>
      <c r="J689" t="s">
        <v>1866</v>
      </c>
    </row>
    <row r="690" spans="1:10">
      <c r="A690" s="1">
        <f>HYPERLINK("https://cms.ls-nyc.org/matter/dynamic-profile/view/1887188","19-1887188")</f>
        <v>0</v>
      </c>
      <c r="B690" t="s">
        <v>12</v>
      </c>
      <c r="C690" t="s">
        <v>33</v>
      </c>
      <c r="D690" t="s">
        <v>623</v>
      </c>
      <c r="E690" t="s">
        <v>1810</v>
      </c>
      <c r="F690" t="s">
        <v>1858</v>
      </c>
      <c r="G690" t="s">
        <v>1861</v>
      </c>
      <c r="H690" t="s">
        <v>1864</v>
      </c>
      <c r="J690" t="s">
        <v>1868</v>
      </c>
    </row>
    <row r="691" spans="1:10">
      <c r="A691" s="1">
        <f>HYPERLINK("https://cms.ls-nyc.org/matter/dynamic-profile/view/1887165","19-1887165")</f>
        <v>0</v>
      </c>
      <c r="B691" t="s">
        <v>14</v>
      </c>
      <c r="C691" t="s">
        <v>25</v>
      </c>
      <c r="D691" t="s">
        <v>624</v>
      </c>
      <c r="E691" t="s">
        <v>1821</v>
      </c>
      <c r="F691" t="s">
        <v>1858</v>
      </c>
      <c r="G691" t="s">
        <v>1861</v>
      </c>
      <c r="H691" t="s">
        <v>1864</v>
      </c>
      <c r="J691" t="s">
        <v>1868</v>
      </c>
    </row>
    <row r="692" spans="1:10">
      <c r="A692" s="1">
        <f>HYPERLINK("https://cms.ls-nyc.org/matter/dynamic-profile/view/1887174","19-1887174")</f>
        <v>0</v>
      </c>
      <c r="B692" t="s">
        <v>15</v>
      </c>
      <c r="C692" t="s">
        <v>34</v>
      </c>
      <c r="D692" t="s">
        <v>625</v>
      </c>
      <c r="E692" t="s">
        <v>1807</v>
      </c>
      <c r="F692" t="s">
        <v>1853</v>
      </c>
      <c r="H692" t="s">
        <v>1863</v>
      </c>
      <c r="J692" t="s">
        <v>1869</v>
      </c>
    </row>
    <row r="693" spans="1:10">
      <c r="A693" s="1">
        <f>HYPERLINK("https://cms.ls-nyc.org/matter/dynamic-profile/view/1887203","19-1887203")</f>
        <v>0</v>
      </c>
      <c r="B693" t="s">
        <v>11</v>
      </c>
      <c r="C693" t="s">
        <v>52</v>
      </c>
      <c r="D693" t="s">
        <v>626</v>
      </c>
      <c r="G693" t="s">
        <v>1861</v>
      </c>
      <c r="J693" t="s">
        <v>1866</v>
      </c>
    </row>
    <row r="694" spans="1:10">
      <c r="A694" s="1">
        <f>HYPERLINK("https://cms.ls-nyc.org/matter/dynamic-profile/view/1887090","19-1887090")</f>
        <v>0</v>
      </c>
      <c r="B694" t="s">
        <v>14</v>
      </c>
      <c r="C694" t="s">
        <v>28</v>
      </c>
      <c r="D694" t="s">
        <v>627</v>
      </c>
      <c r="E694" t="s">
        <v>1811</v>
      </c>
      <c r="F694" t="s">
        <v>1853</v>
      </c>
      <c r="H694" t="s">
        <v>1863</v>
      </c>
      <c r="J694" t="s">
        <v>1866</v>
      </c>
    </row>
    <row r="695" spans="1:10">
      <c r="A695" s="1">
        <f>HYPERLINK("https://cms.ls-nyc.org/matter/dynamic-profile/view/1887091","19-1887091")</f>
        <v>0</v>
      </c>
      <c r="B695" t="s">
        <v>14</v>
      </c>
      <c r="C695" t="s">
        <v>28</v>
      </c>
      <c r="D695" t="s">
        <v>627</v>
      </c>
      <c r="E695" t="s">
        <v>1804</v>
      </c>
      <c r="F695" t="s">
        <v>1853</v>
      </c>
      <c r="H695" t="s">
        <v>1863</v>
      </c>
      <c r="J695" t="s">
        <v>1867</v>
      </c>
    </row>
    <row r="696" spans="1:10">
      <c r="A696" s="1">
        <f>HYPERLINK("https://cms.ls-nyc.org/matter/dynamic-profile/view/1887036","19-1887036")</f>
        <v>0</v>
      </c>
      <c r="B696" t="s">
        <v>14</v>
      </c>
      <c r="C696" t="s">
        <v>42</v>
      </c>
      <c r="D696" t="s">
        <v>628</v>
      </c>
      <c r="E696" t="s">
        <v>1809</v>
      </c>
      <c r="F696" t="s">
        <v>1855</v>
      </c>
      <c r="H696" t="s">
        <v>1863</v>
      </c>
      <c r="J696" t="s">
        <v>1871</v>
      </c>
    </row>
    <row r="697" spans="1:10">
      <c r="A697" s="1">
        <f>HYPERLINK("https://cms.ls-nyc.org/matter/dynamic-profile/view/1887076","19-1887076")</f>
        <v>0</v>
      </c>
      <c r="B697" t="s">
        <v>14</v>
      </c>
      <c r="C697" t="s">
        <v>25</v>
      </c>
      <c r="D697" t="s">
        <v>211</v>
      </c>
      <c r="E697" t="s">
        <v>1809</v>
      </c>
      <c r="F697" t="s">
        <v>1856</v>
      </c>
      <c r="H697" t="s">
        <v>1863</v>
      </c>
      <c r="J697" t="s">
        <v>1866</v>
      </c>
    </row>
    <row r="698" spans="1:10">
      <c r="A698" s="1">
        <f>HYPERLINK("https://cms.ls-nyc.org/matter/dynamic-profile/view/1887134","19-1887134")</f>
        <v>0</v>
      </c>
      <c r="B698" t="s">
        <v>15</v>
      </c>
      <c r="C698" t="s">
        <v>35</v>
      </c>
      <c r="D698" t="s">
        <v>629</v>
      </c>
      <c r="E698" t="s">
        <v>1809</v>
      </c>
      <c r="F698" t="s">
        <v>1855</v>
      </c>
      <c r="H698" t="s">
        <v>1863</v>
      </c>
      <c r="J698" t="s">
        <v>1870</v>
      </c>
    </row>
    <row r="699" spans="1:10">
      <c r="A699" s="1">
        <f>HYPERLINK("https://cms.ls-nyc.org/matter/dynamic-profile/view/1887137","19-1887137")</f>
        <v>0</v>
      </c>
      <c r="B699" t="s">
        <v>15</v>
      </c>
      <c r="C699" t="s">
        <v>35</v>
      </c>
      <c r="D699" t="s">
        <v>630</v>
      </c>
      <c r="E699" t="s">
        <v>1809</v>
      </c>
      <c r="F699" t="s">
        <v>1855</v>
      </c>
      <c r="H699" t="s">
        <v>1863</v>
      </c>
      <c r="J699" t="s">
        <v>1870</v>
      </c>
    </row>
    <row r="700" spans="1:10">
      <c r="A700" s="1">
        <f>HYPERLINK("https://cms.ls-nyc.org/matter/dynamic-profile/view/1886945","19-1886945")</f>
        <v>0</v>
      </c>
      <c r="B700" t="s">
        <v>14</v>
      </c>
      <c r="C700" t="s">
        <v>42</v>
      </c>
      <c r="D700" t="s">
        <v>631</v>
      </c>
      <c r="E700" t="s">
        <v>1840</v>
      </c>
      <c r="F700" t="s">
        <v>1853</v>
      </c>
      <c r="H700" t="s">
        <v>1863</v>
      </c>
      <c r="J700" t="s">
        <v>1867</v>
      </c>
    </row>
    <row r="701" spans="1:10">
      <c r="A701" s="1">
        <f>HYPERLINK("https://cms.ls-nyc.org/matter/dynamic-profile/view/1886935","19-1886935")</f>
        <v>0</v>
      </c>
      <c r="B701" t="s">
        <v>15</v>
      </c>
      <c r="C701" t="s">
        <v>56</v>
      </c>
      <c r="D701" t="s">
        <v>632</v>
      </c>
      <c r="E701" t="s">
        <v>1815</v>
      </c>
      <c r="G701" t="s">
        <v>1861</v>
      </c>
      <c r="J701" t="s">
        <v>1867</v>
      </c>
    </row>
    <row r="702" spans="1:10">
      <c r="A702" s="1">
        <f>HYPERLINK("https://cms.ls-nyc.org/matter/dynamic-profile/view/1886939","19-1886939")</f>
        <v>0</v>
      </c>
      <c r="B702" t="s">
        <v>10</v>
      </c>
      <c r="C702" t="s">
        <v>16</v>
      </c>
      <c r="D702" t="s">
        <v>67</v>
      </c>
      <c r="E702" t="s">
        <v>1815</v>
      </c>
      <c r="F702" t="s">
        <v>1853</v>
      </c>
      <c r="H702" t="s">
        <v>1863</v>
      </c>
      <c r="J702" t="s">
        <v>1867</v>
      </c>
    </row>
    <row r="703" spans="1:10">
      <c r="A703" s="1">
        <f>HYPERLINK("https://cms.ls-nyc.org/matter/dynamic-profile/view/1886952","19-1886952")</f>
        <v>0</v>
      </c>
      <c r="B703" t="s">
        <v>14</v>
      </c>
      <c r="C703" t="s">
        <v>42</v>
      </c>
      <c r="D703" t="s">
        <v>633</v>
      </c>
      <c r="E703" t="s">
        <v>1803</v>
      </c>
      <c r="F703" t="s">
        <v>1855</v>
      </c>
      <c r="H703" t="s">
        <v>1863</v>
      </c>
      <c r="J703" t="s">
        <v>1871</v>
      </c>
    </row>
    <row r="704" spans="1:10">
      <c r="A704" s="1">
        <f>HYPERLINK("https://cms.ls-nyc.org/matter/dynamic-profile/view/1886955","19-1886955")</f>
        <v>0</v>
      </c>
      <c r="B704" t="s">
        <v>11</v>
      </c>
      <c r="C704" t="s">
        <v>41</v>
      </c>
      <c r="D704" t="s">
        <v>634</v>
      </c>
      <c r="E704" t="s">
        <v>1815</v>
      </c>
      <c r="F704" t="s">
        <v>1853</v>
      </c>
      <c r="H704" t="s">
        <v>1863</v>
      </c>
      <c r="I704" t="s">
        <v>1865</v>
      </c>
      <c r="J704" t="s">
        <v>1866</v>
      </c>
    </row>
    <row r="705" spans="1:10">
      <c r="A705" s="1">
        <f>HYPERLINK("https://cms.ls-nyc.org/matter/dynamic-profile/view/1886973","19-1886973")</f>
        <v>0</v>
      </c>
      <c r="B705" t="s">
        <v>12</v>
      </c>
      <c r="C705" t="s">
        <v>49</v>
      </c>
      <c r="D705" t="s">
        <v>635</v>
      </c>
      <c r="E705" t="s">
        <v>1815</v>
      </c>
      <c r="G705" t="s">
        <v>1861</v>
      </c>
      <c r="J705" t="s">
        <v>1867</v>
      </c>
    </row>
    <row r="706" spans="1:10">
      <c r="A706" s="1">
        <f>HYPERLINK("https://cms.ls-nyc.org/matter/dynamic-profile/view/1886813","19-1886813")</f>
        <v>0</v>
      </c>
      <c r="B706" t="s">
        <v>10</v>
      </c>
      <c r="C706" t="s">
        <v>17</v>
      </c>
      <c r="D706" t="s">
        <v>78</v>
      </c>
      <c r="E706" t="s">
        <v>1825</v>
      </c>
      <c r="F706" t="s">
        <v>1853</v>
      </c>
      <c r="H706" t="s">
        <v>1863</v>
      </c>
      <c r="J706" t="s">
        <v>1867</v>
      </c>
    </row>
    <row r="707" spans="1:10">
      <c r="A707" s="1">
        <f>HYPERLINK("https://cms.ls-nyc.org/matter/dynamic-profile/view/1886838","19-1886838")</f>
        <v>0</v>
      </c>
      <c r="B707" t="s">
        <v>14</v>
      </c>
      <c r="C707" t="s">
        <v>25</v>
      </c>
      <c r="D707" t="s">
        <v>636</v>
      </c>
      <c r="E707" t="s">
        <v>1821</v>
      </c>
      <c r="F707" t="s">
        <v>1858</v>
      </c>
      <c r="H707" t="s">
        <v>1863</v>
      </c>
      <c r="J707" t="s">
        <v>1868</v>
      </c>
    </row>
    <row r="708" spans="1:10">
      <c r="A708" s="1">
        <f>HYPERLINK("https://cms.ls-nyc.org/matter/dynamic-profile/view/1886850","19-1886850")</f>
        <v>0</v>
      </c>
      <c r="B708" t="s">
        <v>14</v>
      </c>
      <c r="C708" t="s">
        <v>42</v>
      </c>
      <c r="D708" t="s">
        <v>637</v>
      </c>
      <c r="E708" t="s">
        <v>1804</v>
      </c>
      <c r="F708" t="s">
        <v>1853</v>
      </c>
      <c r="H708" t="s">
        <v>1863</v>
      </c>
      <c r="J708" t="s">
        <v>1867</v>
      </c>
    </row>
    <row r="709" spans="1:10">
      <c r="A709" s="1">
        <f>HYPERLINK("https://cms.ls-nyc.org/matter/dynamic-profile/view/1886860","19-1886860")</f>
        <v>0</v>
      </c>
      <c r="B709" t="s">
        <v>14</v>
      </c>
      <c r="C709" t="s">
        <v>42</v>
      </c>
      <c r="D709" t="s">
        <v>637</v>
      </c>
      <c r="E709" t="s">
        <v>1835</v>
      </c>
      <c r="F709" t="s">
        <v>1853</v>
      </c>
      <c r="H709" t="s">
        <v>1863</v>
      </c>
      <c r="J709" t="s">
        <v>1867</v>
      </c>
    </row>
    <row r="710" spans="1:10">
      <c r="A710" s="1">
        <f>HYPERLINK("https://cms.ls-nyc.org/matter/dynamic-profile/view/1886763","18-1886763")</f>
        <v>0</v>
      </c>
      <c r="B710" t="s">
        <v>10</v>
      </c>
      <c r="C710" t="s">
        <v>16</v>
      </c>
      <c r="D710" t="s">
        <v>76</v>
      </c>
      <c r="E710" t="s">
        <v>1815</v>
      </c>
      <c r="F710" t="s">
        <v>1853</v>
      </c>
      <c r="H710" t="s">
        <v>1863</v>
      </c>
      <c r="J710" t="s">
        <v>1867</v>
      </c>
    </row>
    <row r="711" spans="1:10">
      <c r="A711" s="1">
        <f>HYPERLINK("https://cms.ls-nyc.org/matter/dynamic-profile/view/1886681","18-1886681")</f>
        <v>0</v>
      </c>
      <c r="B711" t="s">
        <v>10</v>
      </c>
      <c r="C711" t="s">
        <v>44</v>
      </c>
      <c r="D711" t="s">
        <v>638</v>
      </c>
      <c r="E711" t="s">
        <v>1815</v>
      </c>
      <c r="F711" t="s">
        <v>1858</v>
      </c>
      <c r="H711" t="s">
        <v>1863</v>
      </c>
      <c r="J711" t="s">
        <v>1868</v>
      </c>
    </row>
    <row r="712" spans="1:10">
      <c r="A712" s="1">
        <f>HYPERLINK("https://cms.ls-nyc.org/matter/dynamic-profile/view/1886710","18-1886710")</f>
        <v>0</v>
      </c>
      <c r="B712" t="s">
        <v>11</v>
      </c>
      <c r="C712" t="s">
        <v>39</v>
      </c>
      <c r="D712" t="s">
        <v>639</v>
      </c>
      <c r="E712" t="s">
        <v>1805</v>
      </c>
      <c r="F712" t="s">
        <v>1853</v>
      </c>
      <c r="G712" t="s">
        <v>1861</v>
      </c>
      <c r="J712" t="s">
        <v>1869</v>
      </c>
    </row>
    <row r="713" spans="1:10">
      <c r="A713" s="1">
        <f>HYPERLINK("https://cms.ls-nyc.org/matter/dynamic-profile/view/1886913","19-1886913")</f>
        <v>0</v>
      </c>
      <c r="B713" t="s">
        <v>13</v>
      </c>
      <c r="C713" t="s">
        <v>43</v>
      </c>
      <c r="D713" t="s">
        <v>640</v>
      </c>
      <c r="E713" t="s">
        <v>1809</v>
      </c>
      <c r="F713" t="s">
        <v>1858</v>
      </c>
      <c r="G713" t="s">
        <v>1861</v>
      </c>
      <c r="J713" t="s">
        <v>1868</v>
      </c>
    </row>
    <row r="714" spans="1:10">
      <c r="A714" s="1">
        <f>HYPERLINK("https://cms.ls-nyc.org/matter/dynamic-profile/view/1886924","19-1886924")</f>
        <v>0</v>
      </c>
      <c r="B714" t="s">
        <v>13</v>
      </c>
      <c r="C714" t="s">
        <v>43</v>
      </c>
      <c r="D714" t="s">
        <v>641</v>
      </c>
      <c r="E714" t="s">
        <v>1809</v>
      </c>
      <c r="F714" t="s">
        <v>1855</v>
      </c>
      <c r="H714" t="s">
        <v>1863</v>
      </c>
      <c r="J714" t="s">
        <v>1870</v>
      </c>
    </row>
    <row r="715" spans="1:10">
      <c r="A715" s="1">
        <f>HYPERLINK("https://cms.ls-nyc.org/matter/dynamic-profile/view/1886928","19-1886928")</f>
        <v>0</v>
      </c>
      <c r="B715" t="s">
        <v>13</v>
      </c>
      <c r="C715" t="s">
        <v>43</v>
      </c>
      <c r="D715" t="s">
        <v>642</v>
      </c>
      <c r="E715" t="s">
        <v>1809</v>
      </c>
      <c r="F715" t="s">
        <v>1855</v>
      </c>
      <c r="H715" t="s">
        <v>1863</v>
      </c>
      <c r="J715" t="s">
        <v>1870</v>
      </c>
    </row>
    <row r="716" spans="1:10">
      <c r="A716" s="1">
        <f>HYPERLINK("https://cms.ls-nyc.org/matter/dynamic-profile/view/1887251","19-1887251")</f>
        <v>0</v>
      </c>
      <c r="B716" t="s">
        <v>13</v>
      </c>
      <c r="C716" t="s">
        <v>43</v>
      </c>
      <c r="D716" t="s">
        <v>643</v>
      </c>
      <c r="E716" t="s">
        <v>1803</v>
      </c>
      <c r="F716" t="s">
        <v>1855</v>
      </c>
      <c r="G716" t="s">
        <v>1861</v>
      </c>
      <c r="J716" t="s">
        <v>1870</v>
      </c>
    </row>
    <row r="717" spans="1:10">
      <c r="A717" s="1">
        <f>HYPERLINK("https://cms.ls-nyc.org/matter/dynamic-profile/view/1886601","18-1886601")</f>
        <v>0</v>
      </c>
      <c r="B717" t="s">
        <v>14</v>
      </c>
      <c r="C717" t="s">
        <v>31</v>
      </c>
      <c r="D717" t="s">
        <v>644</v>
      </c>
      <c r="E717" t="s">
        <v>1807</v>
      </c>
      <c r="F717" t="s">
        <v>1858</v>
      </c>
      <c r="G717" t="s">
        <v>1861</v>
      </c>
      <c r="H717" t="s">
        <v>1864</v>
      </c>
      <c r="I717" t="s">
        <v>1865</v>
      </c>
      <c r="J717" t="s">
        <v>1866</v>
      </c>
    </row>
    <row r="718" spans="1:10">
      <c r="A718" s="1">
        <f>HYPERLINK("https://cms.ls-nyc.org/matter/dynamic-profile/view/1886553","18-1886553")</f>
        <v>0</v>
      </c>
      <c r="B718" t="s">
        <v>10</v>
      </c>
      <c r="C718" t="s">
        <v>17</v>
      </c>
      <c r="D718" t="s">
        <v>176</v>
      </c>
      <c r="E718" t="s">
        <v>1815</v>
      </c>
      <c r="F718" t="s">
        <v>1853</v>
      </c>
      <c r="G718" t="s">
        <v>1861</v>
      </c>
      <c r="J718" t="s">
        <v>1867</v>
      </c>
    </row>
    <row r="719" spans="1:10">
      <c r="A719" s="1">
        <f>HYPERLINK("https://cms.ls-nyc.org/matter/dynamic-profile/view/1886556","18-1886556")</f>
        <v>0</v>
      </c>
      <c r="B719" t="s">
        <v>15</v>
      </c>
      <c r="C719" t="s">
        <v>35</v>
      </c>
      <c r="D719" t="s">
        <v>645</v>
      </c>
      <c r="E719" t="s">
        <v>1802</v>
      </c>
      <c r="F719" t="s">
        <v>1853</v>
      </c>
      <c r="H719" t="s">
        <v>1863</v>
      </c>
      <c r="J719" t="s">
        <v>1869</v>
      </c>
    </row>
    <row r="720" spans="1:10">
      <c r="A720" s="1">
        <f>HYPERLINK("https://cms.ls-nyc.org/matter/dynamic-profile/view/1886608","18-1886608")</f>
        <v>0</v>
      </c>
      <c r="B720" t="s">
        <v>10</v>
      </c>
      <c r="C720" t="s">
        <v>30</v>
      </c>
      <c r="D720" t="s">
        <v>646</v>
      </c>
      <c r="E720" t="s">
        <v>1815</v>
      </c>
      <c r="F720" t="s">
        <v>1853</v>
      </c>
      <c r="H720" t="s">
        <v>1863</v>
      </c>
      <c r="J720" t="s">
        <v>1867</v>
      </c>
    </row>
    <row r="721" spans="1:10">
      <c r="A721" s="1">
        <f>HYPERLINK("https://cms.ls-nyc.org/matter/dynamic-profile/view/1886472","18-1886472")</f>
        <v>0</v>
      </c>
      <c r="B721" t="s">
        <v>10</v>
      </c>
      <c r="C721" t="s">
        <v>30</v>
      </c>
      <c r="D721" t="s">
        <v>647</v>
      </c>
      <c r="E721" t="s">
        <v>1815</v>
      </c>
      <c r="F721" t="s">
        <v>1858</v>
      </c>
      <c r="H721" t="s">
        <v>1863</v>
      </c>
      <c r="J721" t="s">
        <v>1868</v>
      </c>
    </row>
    <row r="722" spans="1:10">
      <c r="A722" s="1">
        <f>HYPERLINK("https://cms.ls-nyc.org/matter/dynamic-profile/view/1886509","18-1886509")</f>
        <v>0</v>
      </c>
      <c r="B722" t="s">
        <v>15</v>
      </c>
      <c r="C722" t="s">
        <v>47</v>
      </c>
      <c r="D722" t="s">
        <v>648</v>
      </c>
      <c r="E722" t="s">
        <v>1813</v>
      </c>
      <c r="H722" t="s">
        <v>1863</v>
      </c>
      <c r="J722" t="s">
        <v>1871</v>
      </c>
    </row>
    <row r="723" spans="1:10">
      <c r="A723" s="1">
        <f>HYPERLINK("https://cms.ls-nyc.org/matter/dynamic-profile/view/1886525","18-1886525")</f>
        <v>0</v>
      </c>
      <c r="B723" t="s">
        <v>14</v>
      </c>
      <c r="C723" t="s">
        <v>31</v>
      </c>
      <c r="D723" t="s">
        <v>649</v>
      </c>
      <c r="E723" t="s">
        <v>1799</v>
      </c>
      <c r="F723" t="s">
        <v>1853</v>
      </c>
      <c r="H723" t="s">
        <v>1863</v>
      </c>
      <c r="J723" t="s">
        <v>1867</v>
      </c>
    </row>
    <row r="724" spans="1:10">
      <c r="A724" s="1">
        <f>HYPERLINK("https://cms.ls-nyc.org/matter/dynamic-profile/view/1886527","18-1886527")</f>
        <v>0</v>
      </c>
      <c r="B724" t="s">
        <v>15</v>
      </c>
      <c r="C724" t="s">
        <v>47</v>
      </c>
      <c r="D724" t="s">
        <v>341</v>
      </c>
      <c r="E724" t="s">
        <v>1803</v>
      </c>
      <c r="G724" t="s">
        <v>1861</v>
      </c>
      <c r="J724" t="s">
        <v>1870</v>
      </c>
    </row>
    <row r="725" spans="1:10">
      <c r="A725" s="1">
        <f>HYPERLINK("https://cms.ls-nyc.org/matter/dynamic-profile/view/1886528","18-1886528")</f>
        <v>0</v>
      </c>
      <c r="B725" t="s">
        <v>15</v>
      </c>
      <c r="C725" t="s">
        <v>47</v>
      </c>
      <c r="D725" t="s">
        <v>650</v>
      </c>
      <c r="E725" t="s">
        <v>1813</v>
      </c>
      <c r="G725" t="s">
        <v>1861</v>
      </c>
      <c r="J725" t="s">
        <v>1870</v>
      </c>
    </row>
    <row r="726" spans="1:10">
      <c r="A726" s="1">
        <f>HYPERLINK("https://cms.ls-nyc.org/matter/dynamic-profile/view/1886429","18-1886429")</f>
        <v>0</v>
      </c>
      <c r="B726" t="s">
        <v>14</v>
      </c>
      <c r="C726" t="s">
        <v>31</v>
      </c>
      <c r="D726" t="s">
        <v>225</v>
      </c>
      <c r="E726" t="s">
        <v>1809</v>
      </c>
      <c r="H726" t="s">
        <v>1863</v>
      </c>
      <c r="J726" t="s">
        <v>1870</v>
      </c>
    </row>
    <row r="727" spans="1:10">
      <c r="A727" s="1">
        <f>HYPERLINK("https://cms.ls-nyc.org/matter/dynamic-profile/view/1886394","18-1886394")</f>
        <v>0</v>
      </c>
      <c r="B727" t="s">
        <v>12</v>
      </c>
      <c r="C727" t="s">
        <v>20</v>
      </c>
      <c r="D727" t="s">
        <v>651</v>
      </c>
      <c r="E727" t="s">
        <v>1802</v>
      </c>
      <c r="G727" t="s">
        <v>1861</v>
      </c>
      <c r="J727" t="s">
        <v>1869</v>
      </c>
    </row>
    <row r="728" spans="1:10">
      <c r="A728" s="1">
        <f>HYPERLINK("https://cms.ls-nyc.org/matter/dynamic-profile/view/1886157","18-1886157")</f>
        <v>0</v>
      </c>
      <c r="B728" t="s">
        <v>15</v>
      </c>
      <c r="C728" t="s">
        <v>35</v>
      </c>
      <c r="D728" t="s">
        <v>652</v>
      </c>
      <c r="E728" t="s">
        <v>1808</v>
      </c>
      <c r="H728" t="s">
        <v>1863</v>
      </c>
      <c r="J728" t="s">
        <v>1867</v>
      </c>
    </row>
    <row r="729" spans="1:10">
      <c r="A729" s="1">
        <f>HYPERLINK("https://cms.ls-nyc.org/matter/dynamic-profile/view/1886214","18-1886214")</f>
        <v>0</v>
      </c>
      <c r="B729" t="s">
        <v>15</v>
      </c>
      <c r="C729" t="s">
        <v>35</v>
      </c>
      <c r="D729" t="s">
        <v>529</v>
      </c>
      <c r="E729" t="s">
        <v>1803</v>
      </c>
      <c r="F729" t="s">
        <v>1855</v>
      </c>
      <c r="H729" t="s">
        <v>1863</v>
      </c>
      <c r="J729" t="s">
        <v>1870</v>
      </c>
    </row>
    <row r="730" spans="1:10">
      <c r="A730" s="1">
        <f>HYPERLINK("https://cms.ls-nyc.org/matter/dynamic-profile/view/1886292","18-1886292")</f>
        <v>0</v>
      </c>
      <c r="B730" t="s">
        <v>15</v>
      </c>
      <c r="C730" t="s">
        <v>35</v>
      </c>
      <c r="D730" t="s">
        <v>529</v>
      </c>
      <c r="E730" t="s">
        <v>1802</v>
      </c>
      <c r="H730" t="s">
        <v>1863</v>
      </c>
      <c r="J730" t="s">
        <v>1869</v>
      </c>
    </row>
    <row r="731" spans="1:10">
      <c r="A731" s="1">
        <f>HYPERLINK("https://cms.ls-nyc.org/matter/dynamic-profile/view/1886058","18-1886058")</f>
        <v>0</v>
      </c>
      <c r="B731" t="s">
        <v>10</v>
      </c>
      <c r="C731" t="s">
        <v>30</v>
      </c>
      <c r="D731" t="s">
        <v>653</v>
      </c>
      <c r="E731" t="s">
        <v>1815</v>
      </c>
      <c r="F731" t="s">
        <v>1858</v>
      </c>
      <c r="H731" t="s">
        <v>1863</v>
      </c>
      <c r="J731" t="s">
        <v>1868</v>
      </c>
    </row>
    <row r="732" spans="1:10">
      <c r="A732" s="1">
        <f>HYPERLINK("https://cms.ls-nyc.org/matter/dynamic-profile/view/1886144","18-1886144")</f>
        <v>0</v>
      </c>
      <c r="B732" t="s">
        <v>15</v>
      </c>
      <c r="C732" t="s">
        <v>34</v>
      </c>
      <c r="D732" t="s">
        <v>654</v>
      </c>
      <c r="E732" t="s">
        <v>1802</v>
      </c>
      <c r="F732" t="s">
        <v>1853</v>
      </c>
      <c r="H732" t="s">
        <v>1863</v>
      </c>
      <c r="J732" t="s">
        <v>1869</v>
      </c>
    </row>
    <row r="733" spans="1:10">
      <c r="A733" s="1">
        <f>HYPERLINK("https://cms.ls-nyc.org/matter/dynamic-profile/view/1886147","18-1886147")</f>
        <v>0</v>
      </c>
      <c r="B733" t="s">
        <v>10</v>
      </c>
      <c r="C733" t="s">
        <v>17</v>
      </c>
      <c r="D733" t="s">
        <v>655</v>
      </c>
      <c r="E733" t="s">
        <v>1815</v>
      </c>
      <c r="F733" t="s">
        <v>1853</v>
      </c>
      <c r="H733" t="s">
        <v>1863</v>
      </c>
      <c r="J733" t="s">
        <v>1867</v>
      </c>
    </row>
    <row r="734" spans="1:10">
      <c r="A734" s="1">
        <f>HYPERLINK("https://cms.ls-nyc.org/matter/dynamic-profile/view/1886002","18-1886002")</f>
        <v>0</v>
      </c>
      <c r="B734" t="s">
        <v>14</v>
      </c>
      <c r="C734" t="s">
        <v>31</v>
      </c>
      <c r="D734" t="s">
        <v>656</v>
      </c>
      <c r="E734" t="s">
        <v>1807</v>
      </c>
      <c r="F734" t="s">
        <v>1858</v>
      </c>
      <c r="G734" t="s">
        <v>1861</v>
      </c>
      <c r="H734" t="s">
        <v>1864</v>
      </c>
      <c r="J734" t="s">
        <v>1868</v>
      </c>
    </row>
    <row r="735" spans="1:10">
      <c r="A735" s="1">
        <f>HYPERLINK("https://cms.ls-nyc.org/matter/dynamic-profile/view/1886047","18-1886047")</f>
        <v>0</v>
      </c>
      <c r="B735" t="s">
        <v>14</v>
      </c>
      <c r="C735" t="s">
        <v>31</v>
      </c>
      <c r="D735" t="s">
        <v>657</v>
      </c>
      <c r="E735" t="s">
        <v>1807</v>
      </c>
      <c r="F735" t="s">
        <v>1859</v>
      </c>
      <c r="G735" t="s">
        <v>1861</v>
      </c>
      <c r="H735" t="s">
        <v>1864</v>
      </c>
      <c r="J735" t="s">
        <v>1868</v>
      </c>
    </row>
    <row r="736" spans="1:10">
      <c r="A736" s="1">
        <f>HYPERLINK("https://cms.ls-nyc.org/matter/dynamic-profile/view/1886041","18-1886041")</f>
        <v>0</v>
      </c>
      <c r="B736" t="s">
        <v>10</v>
      </c>
      <c r="C736" t="s">
        <v>30</v>
      </c>
      <c r="D736" t="s">
        <v>658</v>
      </c>
      <c r="E736" t="s">
        <v>1815</v>
      </c>
      <c r="F736" t="s">
        <v>1858</v>
      </c>
      <c r="H736" t="s">
        <v>1863</v>
      </c>
      <c r="J736" t="s">
        <v>1868</v>
      </c>
    </row>
    <row r="737" spans="1:10">
      <c r="A737" s="1">
        <f>HYPERLINK("https://cms.ls-nyc.org/matter/dynamic-profile/view/1881289","18-1881289")</f>
        <v>0</v>
      </c>
      <c r="B737" t="s">
        <v>13</v>
      </c>
      <c r="C737" t="s">
        <v>29</v>
      </c>
      <c r="D737" t="s">
        <v>659</v>
      </c>
      <c r="E737" t="s">
        <v>1807</v>
      </c>
      <c r="F737" t="s">
        <v>1853</v>
      </c>
      <c r="G737" t="s">
        <v>1861</v>
      </c>
      <c r="J737" t="s">
        <v>1869</v>
      </c>
    </row>
    <row r="738" spans="1:10">
      <c r="A738" s="1">
        <f>HYPERLINK("https://cms.ls-nyc.org/matter/dynamic-profile/view/1885935","18-1885935")</f>
        <v>0</v>
      </c>
      <c r="B738" t="s">
        <v>10</v>
      </c>
      <c r="C738" t="s">
        <v>44</v>
      </c>
      <c r="D738" t="s">
        <v>660</v>
      </c>
      <c r="E738" t="s">
        <v>1815</v>
      </c>
      <c r="F738" t="s">
        <v>1858</v>
      </c>
      <c r="H738" t="s">
        <v>1863</v>
      </c>
      <c r="J738" t="s">
        <v>1868</v>
      </c>
    </row>
    <row r="739" spans="1:10">
      <c r="A739" s="1">
        <f>HYPERLINK("https://cms.ls-nyc.org/matter/dynamic-profile/view/1885954","18-1885954")</f>
        <v>0</v>
      </c>
      <c r="B739" t="s">
        <v>15</v>
      </c>
      <c r="C739" t="s">
        <v>35</v>
      </c>
      <c r="D739" t="s">
        <v>661</v>
      </c>
      <c r="E739" t="s">
        <v>1808</v>
      </c>
      <c r="F739" t="s">
        <v>1857</v>
      </c>
      <c r="H739" t="s">
        <v>1863</v>
      </c>
      <c r="J739" t="s">
        <v>1867</v>
      </c>
    </row>
    <row r="740" spans="1:10">
      <c r="A740" s="1">
        <f>HYPERLINK("https://cms.ls-nyc.org/matter/dynamic-profile/view/1885960","18-1885960")</f>
        <v>0</v>
      </c>
      <c r="B740" t="s">
        <v>15</v>
      </c>
      <c r="C740" t="s">
        <v>35</v>
      </c>
      <c r="D740" t="s">
        <v>662</v>
      </c>
      <c r="E740" t="s">
        <v>1803</v>
      </c>
      <c r="F740" t="s">
        <v>1855</v>
      </c>
      <c r="H740" t="s">
        <v>1863</v>
      </c>
      <c r="J740" t="s">
        <v>1870</v>
      </c>
    </row>
    <row r="741" spans="1:10">
      <c r="A741" s="1">
        <f>HYPERLINK("https://cms.ls-nyc.org/matter/dynamic-profile/view/1885968","18-1885968")</f>
        <v>0</v>
      </c>
      <c r="B741" t="s">
        <v>15</v>
      </c>
      <c r="C741" t="s">
        <v>35</v>
      </c>
      <c r="D741" t="s">
        <v>662</v>
      </c>
      <c r="E741" t="s">
        <v>1802</v>
      </c>
      <c r="F741" t="s">
        <v>1855</v>
      </c>
      <c r="H741" t="s">
        <v>1863</v>
      </c>
      <c r="J741" t="s">
        <v>1869</v>
      </c>
    </row>
    <row r="742" spans="1:10">
      <c r="A742" s="1">
        <f>HYPERLINK("https://cms.ls-nyc.org/matter/dynamic-profile/view/1885996","18-1885996")</f>
        <v>0</v>
      </c>
      <c r="B742" t="s">
        <v>15</v>
      </c>
      <c r="C742" t="s">
        <v>35</v>
      </c>
      <c r="D742" t="s">
        <v>663</v>
      </c>
      <c r="E742" t="s">
        <v>1803</v>
      </c>
      <c r="F742" t="s">
        <v>1855</v>
      </c>
      <c r="H742" t="s">
        <v>1863</v>
      </c>
      <c r="J742" t="s">
        <v>1870</v>
      </c>
    </row>
    <row r="743" spans="1:10">
      <c r="A743" s="1">
        <f>HYPERLINK("https://cms.ls-nyc.org/matter/dynamic-profile/view/1885998","18-1885998")</f>
        <v>0</v>
      </c>
      <c r="B743" t="s">
        <v>15</v>
      </c>
      <c r="C743" t="s">
        <v>35</v>
      </c>
      <c r="D743" t="s">
        <v>663</v>
      </c>
      <c r="E743" t="s">
        <v>1802</v>
      </c>
      <c r="F743" t="s">
        <v>1855</v>
      </c>
      <c r="H743" t="s">
        <v>1863</v>
      </c>
      <c r="J743" t="s">
        <v>1869</v>
      </c>
    </row>
    <row r="744" spans="1:10">
      <c r="A744" s="1">
        <f>HYPERLINK("https://cms.ls-nyc.org/matter/dynamic-profile/view/1886026","18-1886026")</f>
        <v>0</v>
      </c>
      <c r="B744" t="s">
        <v>10</v>
      </c>
      <c r="C744" t="s">
        <v>17</v>
      </c>
      <c r="D744" t="s">
        <v>173</v>
      </c>
      <c r="E744" t="s">
        <v>1815</v>
      </c>
      <c r="F744" t="s">
        <v>1853</v>
      </c>
      <c r="H744" t="s">
        <v>1863</v>
      </c>
      <c r="J744" t="s">
        <v>1867</v>
      </c>
    </row>
    <row r="745" spans="1:10">
      <c r="A745" s="1">
        <f>HYPERLINK("https://cms.ls-nyc.org/matter/dynamic-profile/view/1885869","18-1885869")</f>
        <v>0</v>
      </c>
      <c r="B745" t="s">
        <v>12</v>
      </c>
      <c r="C745" t="s">
        <v>21</v>
      </c>
      <c r="D745" t="s">
        <v>664</v>
      </c>
      <c r="E745" t="s">
        <v>1809</v>
      </c>
      <c r="F745" t="s">
        <v>1858</v>
      </c>
      <c r="G745" t="s">
        <v>1861</v>
      </c>
      <c r="H745" t="s">
        <v>1864</v>
      </c>
      <c r="J745" t="s">
        <v>1868</v>
      </c>
    </row>
    <row r="746" spans="1:10">
      <c r="A746" s="1">
        <f>HYPERLINK("https://cms.ls-nyc.org/matter/dynamic-profile/view/1885855","18-1885855")</f>
        <v>0</v>
      </c>
      <c r="B746" t="s">
        <v>14</v>
      </c>
      <c r="C746" t="s">
        <v>25</v>
      </c>
      <c r="D746" t="s">
        <v>665</v>
      </c>
      <c r="E746" t="s">
        <v>1807</v>
      </c>
      <c r="F746" t="s">
        <v>1858</v>
      </c>
      <c r="G746" t="s">
        <v>1861</v>
      </c>
      <c r="J746" t="s">
        <v>1868</v>
      </c>
    </row>
    <row r="747" spans="1:10">
      <c r="A747" s="1">
        <f>HYPERLINK("https://cms.ls-nyc.org/matter/dynamic-profile/view/1885866","18-1885866")</f>
        <v>0</v>
      </c>
      <c r="B747" t="s">
        <v>11</v>
      </c>
      <c r="C747" t="s">
        <v>39</v>
      </c>
      <c r="D747" t="s">
        <v>666</v>
      </c>
      <c r="E747" t="s">
        <v>1805</v>
      </c>
      <c r="G747" t="s">
        <v>1861</v>
      </c>
      <c r="J747" t="s">
        <v>1869</v>
      </c>
    </row>
    <row r="748" spans="1:10">
      <c r="A748" s="1">
        <f>HYPERLINK("https://cms.ls-nyc.org/matter/dynamic-profile/view/1885895","18-1885895")</f>
        <v>0</v>
      </c>
      <c r="B748" t="s">
        <v>11</v>
      </c>
      <c r="C748" t="s">
        <v>39</v>
      </c>
      <c r="D748" t="s">
        <v>666</v>
      </c>
      <c r="E748" t="s">
        <v>1804</v>
      </c>
      <c r="G748" t="s">
        <v>1861</v>
      </c>
      <c r="J748" t="s">
        <v>1867</v>
      </c>
    </row>
    <row r="749" spans="1:10">
      <c r="A749" s="1">
        <f>HYPERLINK("https://cms.ls-nyc.org/matter/dynamic-profile/view/1885770","18-1885770")</f>
        <v>0</v>
      </c>
      <c r="B749" t="s">
        <v>11</v>
      </c>
      <c r="C749" t="s">
        <v>32</v>
      </c>
      <c r="D749" t="s">
        <v>667</v>
      </c>
      <c r="E749" t="s">
        <v>1799</v>
      </c>
      <c r="F749" t="s">
        <v>1853</v>
      </c>
      <c r="H749" t="s">
        <v>1863</v>
      </c>
      <c r="J749" t="s">
        <v>1867</v>
      </c>
    </row>
    <row r="750" spans="1:10">
      <c r="A750" s="1">
        <f>HYPERLINK("https://cms.ls-nyc.org/matter/dynamic-profile/view/1885759","18-1885759")</f>
        <v>0</v>
      </c>
      <c r="B750" t="s">
        <v>10</v>
      </c>
      <c r="C750" t="s">
        <v>30</v>
      </c>
      <c r="D750" t="s">
        <v>668</v>
      </c>
      <c r="E750" t="s">
        <v>1815</v>
      </c>
      <c r="F750" t="s">
        <v>1858</v>
      </c>
      <c r="H750" t="s">
        <v>1863</v>
      </c>
      <c r="J750" t="s">
        <v>1868</v>
      </c>
    </row>
    <row r="751" spans="1:10">
      <c r="A751" s="1">
        <f>HYPERLINK("https://cms.ls-nyc.org/matter/dynamic-profile/view/1885760","18-1885760")</f>
        <v>0</v>
      </c>
      <c r="B751" t="s">
        <v>10</v>
      </c>
      <c r="C751" t="s">
        <v>17</v>
      </c>
      <c r="D751" t="s">
        <v>115</v>
      </c>
      <c r="E751" t="s">
        <v>1815</v>
      </c>
      <c r="F751" t="s">
        <v>1853</v>
      </c>
      <c r="H751" t="s">
        <v>1863</v>
      </c>
      <c r="J751" t="s">
        <v>1867</v>
      </c>
    </row>
    <row r="752" spans="1:10">
      <c r="A752" s="1">
        <f>HYPERLINK("https://cms.ls-nyc.org/matter/dynamic-profile/view/1885784","18-1885784")</f>
        <v>0</v>
      </c>
      <c r="B752" t="s">
        <v>12</v>
      </c>
      <c r="C752" t="s">
        <v>33</v>
      </c>
      <c r="D752" t="s">
        <v>669</v>
      </c>
      <c r="E752" t="s">
        <v>1802</v>
      </c>
      <c r="F752" t="s">
        <v>1853</v>
      </c>
      <c r="H752" t="s">
        <v>1863</v>
      </c>
      <c r="J752" t="s">
        <v>1869</v>
      </c>
    </row>
    <row r="753" spans="1:10">
      <c r="A753" s="1">
        <f>HYPERLINK("https://cms.ls-nyc.org/matter/dynamic-profile/view/1885785","18-1885785")</f>
        <v>0</v>
      </c>
      <c r="B753" t="s">
        <v>12</v>
      </c>
      <c r="C753" t="s">
        <v>33</v>
      </c>
      <c r="D753" t="s">
        <v>670</v>
      </c>
      <c r="E753" t="s">
        <v>1802</v>
      </c>
      <c r="F753" t="s">
        <v>1853</v>
      </c>
      <c r="H753" t="s">
        <v>1863</v>
      </c>
      <c r="J753" t="s">
        <v>1869</v>
      </c>
    </row>
    <row r="754" spans="1:10">
      <c r="A754" s="1">
        <f>HYPERLINK("https://cms.ls-nyc.org/matter/dynamic-profile/view/1885786","18-1885786")</f>
        <v>0</v>
      </c>
      <c r="B754" t="s">
        <v>12</v>
      </c>
      <c r="C754" t="s">
        <v>33</v>
      </c>
      <c r="D754" t="s">
        <v>669</v>
      </c>
      <c r="F754" t="s">
        <v>1857</v>
      </c>
      <c r="H754" t="s">
        <v>1863</v>
      </c>
      <c r="J754" t="s">
        <v>1869</v>
      </c>
    </row>
    <row r="755" spans="1:10">
      <c r="A755" s="1">
        <f>HYPERLINK("https://cms.ls-nyc.org/matter/dynamic-profile/view/1885787","18-1885787")</f>
        <v>0</v>
      </c>
      <c r="B755" t="s">
        <v>12</v>
      </c>
      <c r="C755" t="s">
        <v>33</v>
      </c>
      <c r="D755" t="s">
        <v>670</v>
      </c>
      <c r="F755" t="s">
        <v>1857</v>
      </c>
      <c r="H755" t="s">
        <v>1863</v>
      </c>
      <c r="J755" t="s">
        <v>1869</v>
      </c>
    </row>
    <row r="756" spans="1:10">
      <c r="A756" s="1">
        <f>HYPERLINK("https://cms.ls-nyc.org/matter/dynamic-profile/view/1885556","18-1885556")</f>
        <v>0</v>
      </c>
      <c r="B756" t="s">
        <v>10</v>
      </c>
      <c r="C756" t="s">
        <v>30</v>
      </c>
      <c r="D756" t="s">
        <v>671</v>
      </c>
      <c r="E756" t="s">
        <v>1807</v>
      </c>
      <c r="F756" t="s">
        <v>1858</v>
      </c>
      <c r="H756" t="s">
        <v>1863</v>
      </c>
      <c r="J756" t="s">
        <v>1868</v>
      </c>
    </row>
    <row r="757" spans="1:10">
      <c r="A757" s="1">
        <f>HYPERLINK("https://cms.ls-nyc.org/matter/dynamic-profile/view/1885597","18-1885597")</f>
        <v>0</v>
      </c>
      <c r="B757" t="s">
        <v>10</v>
      </c>
      <c r="C757" t="s">
        <v>30</v>
      </c>
      <c r="D757" t="s">
        <v>672</v>
      </c>
      <c r="E757" t="s">
        <v>1815</v>
      </c>
      <c r="F757" t="s">
        <v>1858</v>
      </c>
      <c r="H757" t="s">
        <v>1863</v>
      </c>
      <c r="J757" t="s">
        <v>1868</v>
      </c>
    </row>
    <row r="758" spans="1:10">
      <c r="A758" s="1">
        <f>HYPERLINK("https://cms.ls-nyc.org/matter/dynamic-profile/view/1885538","18-1885538")</f>
        <v>0</v>
      </c>
      <c r="B758" t="s">
        <v>10</v>
      </c>
      <c r="C758" t="s">
        <v>17</v>
      </c>
      <c r="D758" t="s">
        <v>673</v>
      </c>
      <c r="E758" t="s">
        <v>1799</v>
      </c>
      <c r="F758" t="s">
        <v>1853</v>
      </c>
      <c r="H758" t="s">
        <v>1863</v>
      </c>
      <c r="J758" t="s">
        <v>1867</v>
      </c>
    </row>
    <row r="759" spans="1:10">
      <c r="A759" s="1">
        <f>HYPERLINK("https://cms.ls-nyc.org/matter/dynamic-profile/view/1885542","18-1885542")</f>
        <v>0</v>
      </c>
      <c r="B759" t="s">
        <v>15</v>
      </c>
      <c r="C759" t="s">
        <v>34</v>
      </c>
      <c r="D759" t="s">
        <v>674</v>
      </c>
      <c r="E759" t="s">
        <v>1803</v>
      </c>
      <c r="F759" t="s">
        <v>1855</v>
      </c>
      <c r="G759" t="s">
        <v>1861</v>
      </c>
      <c r="J759" t="s">
        <v>1871</v>
      </c>
    </row>
    <row r="760" spans="1:10">
      <c r="A760" s="1">
        <f>HYPERLINK("https://cms.ls-nyc.org/matter/dynamic-profile/view/1885565","18-1885565")</f>
        <v>0</v>
      </c>
      <c r="B760" t="s">
        <v>13</v>
      </c>
      <c r="C760" t="s">
        <v>22</v>
      </c>
      <c r="D760" t="s">
        <v>675</v>
      </c>
      <c r="E760" t="s">
        <v>1807</v>
      </c>
      <c r="F760" t="s">
        <v>1853</v>
      </c>
      <c r="H760" t="s">
        <v>1863</v>
      </c>
      <c r="J760" t="s">
        <v>1869</v>
      </c>
    </row>
    <row r="761" spans="1:10">
      <c r="A761" s="1">
        <f>HYPERLINK("https://cms.ls-nyc.org/matter/dynamic-profile/view/1885609","18-1885609")</f>
        <v>0</v>
      </c>
      <c r="B761" t="s">
        <v>10</v>
      </c>
      <c r="C761" t="s">
        <v>30</v>
      </c>
      <c r="D761" t="s">
        <v>676</v>
      </c>
      <c r="E761" t="s">
        <v>1815</v>
      </c>
      <c r="F761" t="s">
        <v>1856</v>
      </c>
      <c r="H761" t="s">
        <v>1863</v>
      </c>
      <c r="J761" t="s">
        <v>1866</v>
      </c>
    </row>
    <row r="762" spans="1:10">
      <c r="A762" s="1">
        <f>HYPERLINK("https://cms.ls-nyc.org/matter/dynamic-profile/view/1885617","18-1885617")</f>
        <v>0</v>
      </c>
      <c r="B762" t="s">
        <v>10</v>
      </c>
      <c r="C762" t="s">
        <v>16</v>
      </c>
      <c r="D762" t="s">
        <v>677</v>
      </c>
      <c r="E762" t="s">
        <v>1815</v>
      </c>
      <c r="F762" t="s">
        <v>1853</v>
      </c>
      <c r="H762" t="s">
        <v>1863</v>
      </c>
      <c r="J762" t="s">
        <v>1867</v>
      </c>
    </row>
    <row r="763" spans="1:10">
      <c r="A763" s="1">
        <f>HYPERLINK("https://cms.ls-nyc.org/matter/dynamic-profile/view/1885629","18-1885629")</f>
        <v>0</v>
      </c>
      <c r="B763" t="s">
        <v>11</v>
      </c>
      <c r="C763" t="s">
        <v>18</v>
      </c>
      <c r="D763" t="s">
        <v>527</v>
      </c>
      <c r="E763" t="s">
        <v>1802</v>
      </c>
      <c r="F763" t="s">
        <v>1853</v>
      </c>
      <c r="H763" t="s">
        <v>1863</v>
      </c>
      <c r="J763" t="s">
        <v>1869</v>
      </c>
    </row>
    <row r="764" spans="1:10">
      <c r="A764" s="1">
        <f>HYPERLINK("https://cms.ls-nyc.org/matter/dynamic-profile/view/1885658","18-1885658")</f>
        <v>0</v>
      </c>
      <c r="B764" t="s">
        <v>10</v>
      </c>
      <c r="C764" t="s">
        <v>30</v>
      </c>
      <c r="D764" t="s">
        <v>678</v>
      </c>
      <c r="E764" t="s">
        <v>1815</v>
      </c>
      <c r="F764" t="s">
        <v>1853</v>
      </c>
      <c r="H764" t="s">
        <v>1863</v>
      </c>
      <c r="J764" t="s">
        <v>1867</v>
      </c>
    </row>
    <row r="765" spans="1:10">
      <c r="A765" s="1">
        <f>HYPERLINK("https://cms.ls-nyc.org/matter/dynamic-profile/view/1885417","18-1885417")</f>
        <v>0</v>
      </c>
      <c r="B765" t="s">
        <v>10</v>
      </c>
      <c r="C765" t="s">
        <v>16</v>
      </c>
      <c r="D765" t="s">
        <v>75</v>
      </c>
      <c r="E765" t="s">
        <v>1815</v>
      </c>
      <c r="F765" t="s">
        <v>1853</v>
      </c>
      <c r="H765" t="s">
        <v>1863</v>
      </c>
      <c r="J765" t="s">
        <v>1867</v>
      </c>
    </row>
    <row r="766" spans="1:10">
      <c r="A766" s="1">
        <f>HYPERLINK("https://cms.ls-nyc.org/matter/dynamic-profile/view/1885428","18-1885428")</f>
        <v>0</v>
      </c>
      <c r="B766" t="s">
        <v>14</v>
      </c>
      <c r="C766" t="s">
        <v>31</v>
      </c>
      <c r="D766" t="s">
        <v>144</v>
      </c>
      <c r="E766" t="s">
        <v>1809</v>
      </c>
      <c r="H766" t="s">
        <v>1863</v>
      </c>
      <c r="J766" t="s">
        <v>1871</v>
      </c>
    </row>
    <row r="767" spans="1:10">
      <c r="A767" s="1">
        <f>HYPERLINK("https://cms.ls-nyc.org/matter/dynamic-profile/view/1885441","18-1885441")</f>
        <v>0</v>
      </c>
      <c r="B767" t="s">
        <v>10</v>
      </c>
      <c r="C767" t="s">
        <v>16</v>
      </c>
      <c r="D767" t="s">
        <v>679</v>
      </c>
      <c r="E767" t="s">
        <v>1800</v>
      </c>
      <c r="F767" t="s">
        <v>1853</v>
      </c>
      <c r="H767" t="s">
        <v>1863</v>
      </c>
      <c r="J767" t="s">
        <v>1867</v>
      </c>
    </row>
    <row r="768" spans="1:10">
      <c r="A768" s="1">
        <f>HYPERLINK("https://cms.ls-nyc.org/matter/dynamic-profile/view/1885514","18-1885514")</f>
        <v>0</v>
      </c>
      <c r="B768" t="s">
        <v>15</v>
      </c>
      <c r="C768" t="s">
        <v>35</v>
      </c>
      <c r="D768" t="s">
        <v>680</v>
      </c>
      <c r="E768" t="s">
        <v>1803</v>
      </c>
      <c r="F768" t="s">
        <v>1855</v>
      </c>
      <c r="H768" t="s">
        <v>1863</v>
      </c>
      <c r="J768" t="s">
        <v>1871</v>
      </c>
    </row>
    <row r="769" spans="1:10">
      <c r="A769" s="1">
        <f>HYPERLINK("https://cms.ls-nyc.org/matter/dynamic-profile/view/1885516","18-1885516")</f>
        <v>0</v>
      </c>
      <c r="B769" t="s">
        <v>15</v>
      </c>
      <c r="C769" t="s">
        <v>27</v>
      </c>
      <c r="D769" t="s">
        <v>681</v>
      </c>
      <c r="E769" t="s">
        <v>1802</v>
      </c>
      <c r="G769" t="s">
        <v>1861</v>
      </c>
      <c r="J769" t="s">
        <v>1869</v>
      </c>
    </row>
    <row r="770" spans="1:10">
      <c r="A770" s="1">
        <f>HYPERLINK("https://cms.ls-nyc.org/matter/dynamic-profile/view/1885518","18-1885518")</f>
        <v>0</v>
      </c>
      <c r="B770" t="s">
        <v>15</v>
      </c>
      <c r="C770" t="s">
        <v>27</v>
      </c>
      <c r="D770" t="s">
        <v>681</v>
      </c>
      <c r="E770" t="s">
        <v>1804</v>
      </c>
      <c r="G770" t="s">
        <v>1861</v>
      </c>
      <c r="J770" t="s">
        <v>1867</v>
      </c>
    </row>
    <row r="771" spans="1:10">
      <c r="A771" s="1">
        <f>HYPERLINK("https://cms.ls-nyc.org/matter/dynamic-profile/view/1885524","18-1885524")</f>
        <v>0</v>
      </c>
      <c r="B771" t="s">
        <v>10</v>
      </c>
      <c r="C771" t="s">
        <v>16</v>
      </c>
      <c r="D771" t="s">
        <v>682</v>
      </c>
      <c r="E771" t="s">
        <v>1807</v>
      </c>
      <c r="F771" t="s">
        <v>1853</v>
      </c>
      <c r="H771" t="s">
        <v>1863</v>
      </c>
      <c r="J771" t="s">
        <v>1869</v>
      </c>
    </row>
    <row r="772" spans="1:10">
      <c r="A772" s="1">
        <f>HYPERLINK("https://cms.ls-nyc.org/matter/dynamic-profile/view/1880318","18-1880318")</f>
        <v>0</v>
      </c>
      <c r="B772" t="s">
        <v>11</v>
      </c>
      <c r="C772" t="s">
        <v>39</v>
      </c>
      <c r="D772" t="s">
        <v>683</v>
      </c>
      <c r="E772" t="s">
        <v>1807</v>
      </c>
      <c r="G772" t="s">
        <v>1861</v>
      </c>
      <c r="I772" t="s">
        <v>1865</v>
      </c>
      <c r="J772" t="s">
        <v>1866</v>
      </c>
    </row>
    <row r="773" spans="1:10">
      <c r="A773" s="1">
        <f>HYPERLINK("https://cms.ls-nyc.org/matter/dynamic-profile/view/1885354","18-1885354")</f>
        <v>0</v>
      </c>
      <c r="B773" t="s">
        <v>12</v>
      </c>
      <c r="C773" t="s">
        <v>21</v>
      </c>
      <c r="D773" t="s">
        <v>684</v>
      </c>
      <c r="E773" t="s">
        <v>1810</v>
      </c>
      <c r="F773" t="s">
        <v>1853</v>
      </c>
      <c r="H773" t="s">
        <v>1863</v>
      </c>
      <c r="J773" t="s">
        <v>1869</v>
      </c>
    </row>
    <row r="774" spans="1:10">
      <c r="A774" s="1">
        <f>HYPERLINK("https://cms.ls-nyc.org/matter/dynamic-profile/view/1885360","18-1885360")</f>
        <v>0</v>
      </c>
      <c r="B774" t="s">
        <v>11</v>
      </c>
      <c r="C774" t="s">
        <v>39</v>
      </c>
      <c r="D774" t="s">
        <v>685</v>
      </c>
      <c r="E774" t="s">
        <v>1807</v>
      </c>
      <c r="F774" t="s">
        <v>1853</v>
      </c>
      <c r="H774" t="s">
        <v>1863</v>
      </c>
      <c r="J774" t="s">
        <v>1869</v>
      </c>
    </row>
    <row r="775" spans="1:10">
      <c r="A775" s="1">
        <f>HYPERLINK("https://cms.ls-nyc.org/matter/dynamic-profile/view/1885389","18-1885389")</f>
        <v>0</v>
      </c>
      <c r="B775" t="s">
        <v>15</v>
      </c>
      <c r="C775" t="s">
        <v>27</v>
      </c>
      <c r="D775" t="s">
        <v>686</v>
      </c>
      <c r="E775" t="s">
        <v>1823</v>
      </c>
      <c r="G775" t="s">
        <v>1861</v>
      </c>
      <c r="J775" t="s">
        <v>1867</v>
      </c>
    </row>
    <row r="776" spans="1:10">
      <c r="A776" s="1">
        <f>HYPERLINK("https://cms.ls-nyc.org/matter/dynamic-profile/view/1885318","18-1885318")</f>
        <v>0</v>
      </c>
      <c r="B776" t="s">
        <v>11</v>
      </c>
      <c r="C776" t="s">
        <v>32</v>
      </c>
      <c r="D776" t="s">
        <v>687</v>
      </c>
      <c r="E776" t="s">
        <v>1829</v>
      </c>
      <c r="F776" t="s">
        <v>1858</v>
      </c>
      <c r="H776" t="s">
        <v>1863</v>
      </c>
      <c r="J776" t="s">
        <v>1868</v>
      </c>
    </row>
    <row r="777" spans="1:10">
      <c r="A777" s="1">
        <f>HYPERLINK("https://cms.ls-nyc.org/matter/dynamic-profile/view/1880348","18-1880348")</f>
        <v>0</v>
      </c>
      <c r="B777" t="s">
        <v>11</v>
      </c>
      <c r="C777" t="s">
        <v>39</v>
      </c>
      <c r="D777" t="s">
        <v>688</v>
      </c>
      <c r="E777" t="s">
        <v>1814</v>
      </c>
      <c r="G777" t="s">
        <v>1861</v>
      </c>
      <c r="J777" t="s">
        <v>1869</v>
      </c>
    </row>
    <row r="778" spans="1:10">
      <c r="A778" s="1">
        <f>HYPERLINK("https://cms.ls-nyc.org/matter/dynamic-profile/view/1885253","18-1885253")</f>
        <v>0</v>
      </c>
      <c r="B778" t="s">
        <v>11</v>
      </c>
      <c r="C778" t="s">
        <v>54</v>
      </c>
      <c r="D778" t="s">
        <v>689</v>
      </c>
      <c r="G778" t="s">
        <v>1861</v>
      </c>
      <c r="J778" t="s">
        <v>1866</v>
      </c>
    </row>
    <row r="779" spans="1:10">
      <c r="A779" s="1">
        <f>HYPERLINK("https://cms.ls-nyc.org/matter/dynamic-profile/view/1885287","18-1885287")</f>
        <v>0</v>
      </c>
      <c r="B779" t="s">
        <v>10</v>
      </c>
      <c r="C779" t="s">
        <v>16</v>
      </c>
      <c r="D779" t="s">
        <v>90</v>
      </c>
      <c r="E779" t="s">
        <v>1815</v>
      </c>
      <c r="F779" t="s">
        <v>1853</v>
      </c>
      <c r="H779" t="s">
        <v>1863</v>
      </c>
      <c r="J779" t="s">
        <v>1867</v>
      </c>
    </row>
    <row r="780" spans="1:10">
      <c r="A780" s="1">
        <f>HYPERLINK("https://cms.ls-nyc.org/matter/dynamic-profile/view/1885296","18-1885296")</f>
        <v>0</v>
      </c>
      <c r="B780" t="s">
        <v>13</v>
      </c>
      <c r="C780" t="s">
        <v>24</v>
      </c>
      <c r="D780" t="s">
        <v>690</v>
      </c>
      <c r="E780" t="s">
        <v>1805</v>
      </c>
      <c r="F780" t="s">
        <v>1853</v>
      </c>
      <c r="H780" t="s">
        <v>1863</v>
      </c>
      <c r="J780" t="s">
        <v>1869</v>
      </c>
    </row>
    <row r="781" spans="1:10">
      <c r="A781" s="1">
        <f>HYPERLINK("https://cms.ls-nyc.org/matter/dynamic-profile/view/1885298","18-1885298")</f>
        <v>0</v>
      </c>
      <c r="B781" t="s">
        <v>10</v>
      </c>
      <c r="C781" t="s">
        <v>16</v>
      </c>
      <c r="D781" t="s">
        <v>691</v>
      </c>
      <c r="E781" t="s">
        <v>1807</v>
      </c>
      <c r="F781" t="s">
        <v>1853</v>
      </c>
      <c r="H781" t="s">
        <v>1863</v>
      </c>
      <c r="J781" t="s">
        <v>1869</v>
      </c>
    </row>
    <row r="782" spans="1:10">
      <c r="A782" s="1">
        <f>HYPERLINK("https://cms.ls-nyc.org/matter/dynamic-profile/view/1887159","19-1887159")</f>
        <v>0</v>
      </c>
      <c r="B782" t="s">
        <v>12</v>
      </c>
      <c r="C782" t="s">
        <v>33</v>
      </c>
      <c r="D782" t="s">
        <v>692</v>
      </c>
      <c r="E782" t="s">
        <v>1831</v>
      </c>
      <c r="F782" t="s">
        <v>1853</v>
      </c>
      <c r="H782" t="s">
        <v>1863</v>
      </c>
      <c r="J782" t="s">
        <v>1869</v>
      </c>
    </row>
    <row r="783" spans="1:10">
      <c r="A783" s="1">
        <f>HYPERLINK("https://cms.ls-nyc.org/matter/dynamic-profile/view/1885089","18-1885089")</f>
        <v>0</v>
      </c>
      <c r="B783" t="s">
        <v>11</v>
      </c>
      <c r="C783" t="s">
        <v>32</v>
      </c>
      <c r="D783" t="s">
        <v>693</v>
      </c>
      <c r="E783" t="s">
        <v>1799</v>
      </c>
      <c r="F783" t="s">
        <v>1853</v>
      </c>
      <c r="H783" t="s">
        <v>1863</v>
      </c>
      <c r="J783" t="s">
        <v>1867</v>
      </c>
    </row>
    <row r="784" spans="1:10">
      <c r="A784" s="1">
        <f>HYPERLINK("https://cms.ls-nyc.org/matter/dynamic-profile/view/1885101","18-1885101")</f>
        <v>0</v>
      </c>
      <c r="B784" t="s">
        <v>11</v>
      </c>
      <c r="C784" t="s">
        <v>32</v>
      </c>
      <c r="D784" t="s">
        <v>693</v>
      </c>
      <c r="E784" t="s">
        <v>1804</v>
      </c>
      <c r="F784" t="s">
        <v>1853</v>
      </c>
      <c r="H784" t="s">
        <v>1863</v>
      </c>
      <c r="J784" t="s">
        <v>1867</v>
      </c>
    </row>
    <row r="785" spans="1:10">
      <c r="A785" s="1">
        <f>HYPERLINK("https://cms.ls-nyc.org/matter/dynamic-profile/view/1885105","18-1885105")</f>
        <v>0</v>
      </c>
      <c r="B785" t="s">
        <v>14</v>
      </c>
      <c r="C785" t="s">
        <v>25</v>
      </c>
      <c r="D785" t="s">
        <v>694</v>
      </c>
      <c r="E785" t="s">
        <v>1809</v>
      </c>
      <c r="F785" t="s">
        <v>1858</v>
      </c>
      <c r="G785" t="s">
        <v>1861</v>
      </c>
      <c r="J785" t="s">
        <v>1868</v>
      </c>
    </row>
    <row r="786" spans="1:10">
      <c r="A786" s="1">
        <f>HYPERLINK("https://cms.ls-nyc.org/matter/dynamic-profile/view/1885150","18-1885150")</f>
        <v>0</v>
      </c>
      <c r="B786" t="s">
        <v>10</v>
      </c>
      <c r="C786" t="s">
        <v>16</v>
      </c>
      <c r="D786" t="s">
        <v>695</v>
      </c>
      <c r="E786" t="s">
        <v>1807</v>
      </c>
      <c r="F786" t="s">
        <v>1853</v>
      </c>
      <c r="H786" t="s">
        <v>1863</v>
      </c>
      <c r="J786" t="s">
        <v>1869</v>
      </c>
    </row>
    <row r="787" spans="1:10">
      <c r="A787" s="1">
        <f>HYPERLINK("https://cms.ls-nyc.org/matter/dynamic-profile/view/1884949","18-1884949")</f>
        <v>0</v>
      </c>
      <c r="B787" t="s">
        <v>15</v>
      </c>
      <c r="C787" t="s">
        <v>35</v>
      </c>
      <c r="D787" t="s">
        <v>696</v>
      </c>
      <c r="E787" t="s">
        <v>1802</v>
      </c>
      <c r="H787" t="s">
        <v>1863</v>
      </c>
      <c r="J787" t="s">
        <v>1869</v>
      </c>
    </row>
    <row r="788" spans="1:10">
      <c r="A788" s="1">
        <f>HYPERLINK("https://cms.ls-nyc.org/matter/dynamic-profile/view/1884957","18-1884957")</f>
        <v>0</v>
      </c>
      <c r="B788" t="s">
        <v>11</v>
      </c>
      <c r="C788" t="s">
        <v>37</v>
      </c>
      <c r="D788" t="s">
        <v>697</v>
      </c>
      <c r="E788" t="s">
        <v>1809</v>
      </c>
      <c r="F788" t="s">
        <v>1855</v>
      </c>
      <c r="H788" t="s">
        <v>1863</v>
      </c>
      <c r="J788" t="s">
        <v>1871</v>
      </c>
    </row>
    <row r="789" spans="1:10">
      <c r="A789" s="1">
        <f>HYPERLINK("https://cms.ls-nyc.org/matter/dynamic-profile/view/1884971","18-1884971")</f>
        <v>0</v>
      </c>
      <c r="B789" t="s">
        <v>14</v>
      </c>
      <c r="C789" t="s">
        <v>25</v>
      </c>
      <c r="D789" t="s">
        <v>698</v>
      </c>
      <c r="E789" t="s">
        <v>1800</v>
      </c>
      <c r="F789" t="s">
        <v>1858</v>
      </c>
      <c r="H789" t="s">
        <v>1863</v>
      </c>
      <c r="J789" t="s">
        <v>1868</v>
      </c>
    </row>
    <row r="790" spans="1:10">
      <c r="A790" s="1">
        <f>HYPERLINK("https://cms.ls-nyc.org/matter/dynamic-profile/view/1884980","18-1884980")</f>
        <v>0</v>
      </c>
      <c r="B790" t="s">
        <v>10</v>
      </c>
      <c r="C790" t="s">
        <v>17</v>
      </c>
      <c r="D790" t="s">
        <v>699</v>
      </c>
      <c r="E790" t="s">
        <v>1815</v>
      </c>
      <c r="F790" t="s">
        <v>1853</v>
      </c>
      <c r="H790" t="s">
        <v>1863</v>
      </c>
      <c r="J790" t="s">
        <v>1867</v>
      </c>
    </row>
    <row r="791" spans="1:10">
      <c r="A791" s="1">
        <f>HYPERLINK("https://cms.ls-nyc.org/matter/dynamic-profile/view/1885000","18-1885000")</f>
        <v>0</v>
      </c>
      <c r="B791" t="s">
        <v>11</v>
      </c>
      <c r="C791" t="s">
        <v>37</v>
      </c>
      <c r="D791" t="s">
        <v>700</v>
      </c>
      <c r="E791" t="s">
        <v>1809</v>
      </c>
      <c r="F791" t="s">
        <v>1858</v>
      </c>
      <c r="H791" t="s">
        <v>1863</v>
      </c>
      <c r="J791" t="s">
        <v>1868</v>
      </c>
    </row>
    <row r="792" spans="1:10">
      <c r="A792" s="1">
        <f>HYPERLINK("https://cms.ls-nyc.org/matter/dynamic-profile/view/1885002","18-1885002")</f>
        <v>0</v>
      </c>
      <c r="B792" t="s">
        <v>11</v>
      </c>
      <c r="C792" t="s">
        <v>18</v>
      </c>
      <c r="D792" t="s">
        <v>701</v>
      </c>
      <c r="E792" t="s">
        <v>1806</v>
      </c>
      <c r="H792" t="s">
        <v>1863</v>
      </c>
      <c r="J792" t="s">
        <v>1869</v>
      </c>
    </row>
    <row r="793" spans="1:10">
      <c r="A793" s="1">
        <f>HYPERLINK("https://cms.ls-nyc.org/matter/dynamic-profile/view/1885005","18-1885005")</f>
        <v>0</v>
      </c>
      <c r="B793" t="s">
        <v>11</v>
      </c>
      <c r="C793" t="s">
        <v>32</v>
      </c>
      <c r="D793" t="s">
        <v>702</v>
      </c>
      <c r="E793" t="s">
        <v>1804</v>
      </c>
      <c r="F793" t="s">
        <v>1853</v>
      </c>
      <c r="H793" t="s">
        <v>1863</v>
      </c>
      <c r="J793" t="s">
        <v>1867</v>
      </c>
    </row>
    <row r="794" spans="1:10">
      <c r="A794" s="1">
        <f>HYPERLINK("https://cms.ls-nyc.org/matter/dynamic-profile/view/1885035","18-1885035")</f>
        <v>0</v>
      </c>
      <c r="B794" t="s">
        <v>14</v>
      </c>
      <c r="C794" t="s">
        <v>31</v>
      </c>
      <c r="D794" t="s">
        <v>703</v>
      </c>
      <c r="E794" t="s">
        <v>1809</v>
      </c>
      <c r="F794" t="s">
        <v>1855</v>
      </c>
      <c r="H794" t="s">
        <v>1863</v>
      </c>
      <c r="J794" t="s">
        <v>1871</v>
      </c>
    </row>
    <row r="795" spans="1:10">
      <c r="A795" s="1">
        <f>HYPERLINK("https://cms.ls-nyc.org/matter/dynamic-profile/view/1885041","18-1885041")</f>
        <v>0</v>
      </c>
      <c r="B795" t="s">
        <v>13</v>
      </c>
      <c r="C795" t="s">
        <v>43</v>
      </c>
      <c r="D795" t="s">
        <v>299</v>
      </c>
      <c r="E795" t="s">
        <v>1802</v>
      </c>
      <c r="F795" t="s">
        <v>1853</v>
      </c>
      <c r="H795" t="s">
        <v>1863</v>
      </c>
      <c r="J795" t="s">
        <v>1869</v>
      </c>
    </row>
    <row r="796" spans="1:10">
      <c r="A796" s="1">
        <f>HYPERLINK("https://cms.ls-nyc.org/matter/dynamic-profile/view/1885213","18-1885213")</f>
        <v>0</v>
      </c>
      <c r="B796" t="s">
        <v>11</v>
      </c>
      <c r="C796" t="s">
        <v>37</v>
      </c>
      <c r="D796" t="s">
        <v>704</v>
      </c>
      <c r="E796" t="s">
        <v>1809</v>
      </c>
      <c r="F796" t="s">
        <v>1858</v>
      </c>
      <c r="H796" t="s">
        <v>1863</v>
      </c>
      <c r="J796" t="s">
        <v>1868</v>
      </c>
    </row>
    <row r="797" spans="1:10">
      <c r="A797" s="1">
        <f>HYPERLINK("https://cms.ls-nyc.org/matter/dynamic-profile/view/1884897","18-1884897")</f>
        <v>0</v>
      </c>
      <c r="B797" t="s">
        <v>10</v>
      </c>
      <c r="C797" t="s">
        <v>17</v>
      </c>
      <c r="D797" t="s">
        <v>705</v>
      </c>
      <c r="E797" t="s">
        <v>1807</v>
      </c>
      <c r="F797" t="s">
        <v>1858</v>
      </c>
      <c r="H797" t="s">
        <v>1863</v>
      </c>
      <c r="J797" t="s">
        <v>1868</v>
      </c>
    </row>
    <row r="798" spans="1:10">
      <c r="A798" s="1">
        <f>HYPERLINK("https://cms.ls-nyc.org/matter/dynamic-profile/view/1884773","18-1884773")</f>
        <v>0</v>
      </c>
      <c r="B798" t="s">
        <v>13</v>
      </c>
      <c r="C798" t="s">
        <v>29</v>
      </c>
      <c r="D798" t="s">
        <v>706</v>
      </c>
      <c r="E798" t="s">
        <v>1816</v>
      </c>
      <c r="F798" t="s">
        <v>1853</v>
      </c>
      <c r="H798" t="s">
        <v>1863</v>
      </c>
      <c r="J798" t="s">
        <v>1867</v>
      </c>
    </row>
    <row r="799" spans="1:10">
      <c r="A799" s="1">
        <f>HYPERLINK("https://cms.ls-nyc.org/matter/dynamic-profile/view/1884817","18-1884817")</f>
        <v>0</v>
      </c>
      <c r="B799" t="s">
        <v>15</v>
      </c>
      <c r="C799" t="s">
        <v>35</v>
      </c>
      <c r="D799" t="s">
        <v>580</v>
      </c>
      <c r="E799" t="s">
        <v>1802</v>
      </c>
      <c r="F799" t="s">
        <v>1853</v>
      </c>
      <c r="H799" t="s">
        <v>1863</v>
      </c>
      <c r="J799" t="s">
        <v>1869</v>
      </c>
    </row>
    <row r="800" spans="1:10">
      <c r="A800" s="1">
        <f>HYPERLINK("https://cms.ls-nyc.org/matter/dynamic-profile/view/1884820","18-1884820")</f>
        <v>0</v>
      </c>
      <c r="B800" t="s">
        <v>10</v>
      </c>
      <c r="C800" t="s">
        <v>16</v>
      </c>
      <c r="D800" t="s">
        <v>707</v>
      </c>
      <c r="E800" t="s">
        <v>1807</v>
      </c>
      <c r="F800" t="s">
        <v>1853</v>
      </c>
      <c r="H800" t="s">
        <v>1863</v>
      </c>
      <c r="J800" t="s">
        <v>1869</v>
      </c>
    </row>
    <row r="801" spans="1:10">
      <c r="A801" s="1">
        <f>HYPERLINK("https://cms.ls-nyc.org/matter/dynamic-profile/view/1884834","18-1884834")</f>
        <v>0</v>
      </c>
      <c r="B801" t="s">
        <v>11</v>
      </c>
      <c r="C801" t="s">
        <v>37</v>
      </c>
      <c r="D801" t="s">
        <v>708</v>
      </c>
      <c r="E801" t="s">
        <v>1823</v>
      </c>
      <c r="F801" t="s">
        <v>1859</v>
      </c>
      <c r="H801" t="s">
        <v>1863</v>
      </c>
      <c r="J801" t="s">
        <v>1868</v>
      </c>
    </row>
    <row r="802" spans="1:10">
      <c r="A802" s="1">
        <f>HYPERLINK("https://cms.ls-nyc.org/matter/dynamic-profile/view/1884859","18-1884859")</f>
        <v>0</v>
      </c>
      <c r="B802" t="s">
        <v>10</v>
      </c>
      <c r="C802" t="s">
        <v>16</v>
      </c>
      <c r="D802" t="s">
        <v>709</v>
      </c>
      <c r="E802" t="s">
        <v>1807</v>
      </c>
      <c r="F802" t="s">
        <v>1853</v>
      </c>
      <c r="H802" t="s">
        <v>1863</v>
      </c>
      <c r="J802" t="s">
        <v>1869</v>
      </c>
    </row>
    <row r="803" spans="1:10">
      <c r="A803" s="1">
        <f>HYPERLINK("https://cms.ls-nyc.org/matter/dynamic-profile/view/1884703","18-1884703")</f>
        <v>0</v>
      </c>
      <c r="B803" t="s">
        <v>14</v>
      </c>
      <c r="C803" t="s">
        <v>25</v>
      </c>
      <c r="D803" t="s">
        <v>710</v>
      </c>
      <c r="F803" t="s">
        <v>1858</v>
      </c>
      <c r="G803" t="s">
        <v>1861</v>
      </c>
      <c r="J803" t="s">
        <v>1868</v>
      </c>
    </row>
    <row r="804" spans="1:10">
      <c r="A804" s="1">
        <f>HYPERLINK("https://cms.ls-nyc.org/matter/dynamic-profile/view/1884687","18-1884687")</f>
        <v>0</v>
      </c>
      <c r="B804" t="s">
        <v>15</v>
      </c>
      <c r="C804" t="s">
        <v>34</v>
      </c>
      <c r="D804" t="s">
        <v>711</v>
      </c>
      <c r="E804" t="s">
        <v>1841</v>
      </c>
      <c r="F804" t="s">
        <v>1858</v>
      </c>
      <c r="G804" t="s">
        <v>1861</v>
      </c>
      <c r="H804" t="s">
        <v>1864</v>
      </c>
      <c r="J804" t="s">
        <v>1868</v>
      </c>
    </row>
    <row r="805" spans="1:10">
      <c r="A805" s="1">
        <f>HYPERLINK("https://cms.ls-nyc.org/matter/dynamic-profile/view/1884743","18-1884743")</f>
        <v>0</v>
      </c>
      <c r="B805" t="s">
        <v>15</v>
      </c>
      <c r="C805" t="s">
        <v>35</v>
      </c>
      <c r="D805" t="s">
        <v>568</v>
      </c>
      <c r="E805" t="s">
        <v>1803</v>
      </c>
      <c r="F805" t="s">
        <v>1855</v>
      </c>
      <c r="H805" t="s">
        <v>1863</v>
      </c>
      <c r="J805" t="s">
        <v>1868</v>
      </c>
    </row>
    <row r="806" spans="1:10">
      <c r="A806" s="1">
        <f>HYPERLINK("https://cms.ls-nyc.org/matter/dynamic-profile/view/1884749","18-1884749")</f>
        <v>0</v>
      </c>
      <c r="B806" t="s">
        <v>15</v>
      </c>
      <c r="C806" t="s">
        <v>35</v>
      </c>
      <c r="D806" t="s">
        <v>568</v>
      </c>
      <c r="E806" t="s">
        <v>1802</v>
      </c>
      <c r="F806" t="s">
        <v>1855</v>
      </c>
      <c r="H806" t="s">
        <v>1863</v>
      </c>
      <c r="J806" t="s">
        <v>1868</v>
      </c>
    </row>
    <row r="807" spans="1:10">
      <c r="A807" s="1">
        <f>HYPERLINK("https://cms.ls-nyc.org/matter/dynamic-profile/view/1884672","18-1884672")</f>
        <v>0</v>
      </c>
      <c r="B807" t="s">
        <v>10</v>
      </c>
      <c r="C807" t="s">
        <v>17</v>
      </c>
      <c r="D807" t="s">
        <v>101</v>
      </c>
      <c r="E807" t="s">
        <v>1815</v>
      </c>
      <c r="F807" t="s">
        <v>1853</v>
      </c>
      <c r="H807" t="s">
        <v>1863</v>
      </c>
      <c r="J807" t="s">
        <v>1867</v>
      </c>
    </row>
    <row r="808" spans="1:10">
      <c r="A808" s="1">
        <f>HYPERLINK("https://cms.ls-nyc.org/matter/dynamic-profile/view/1884695","18-1884695")</f>
        <v>0</v>
      </c>
      <c r="B808" t="s">
        <v>10</v>
      </c>
      <c r="C808" t="s">
        <v>30</v>
      </c>
      <c r="D808" t="s">
        <v>712</v>
      </c>
      <c r="E808" t="s">
        <v>1815</v>
      </c>
      <c r="F808" t="s">
        <v>1853</v>
      </c>
      <c r="H808" t="s">
        <v>1863</v>
      </c>
      <c r="J808" t="s">
        <v>1867</v>
      </c>
    </row>
    <row r="809" spans="1:10">
      <c r="A809" s="1">
        <f>HYPERLINK("https://cms.ls-nyc.org/matter/dynamic-profile/view/1885143","18-1885143")</f>
        <v>0</v>
      </c>
      <c r="B809" t="s">
        <v>11</v>
      </c>
      <c r="C809" t="s">
        <v>18</v>
      </c>
      <c r="D809" t="s">
        <v>579</v>
      </c>
      <c r="F809" t="s">
        <v>1857</v>
      </c>
      <c r="H809" t="s">
        <v>1863</v>
      </c>
      <c r="J809" t="s">
        <v>1869</v>
      </c>
    </row>
    <row r="810" spans="1:10">
      <c r="A810" s="1">
        <f>HYPERLINK("https://cms.ls-nyc.org/matter/dynamic-profile/view/1885237","18-1885237")</f>
        <v>0</v>
      </c>
      <c r="B810" t="s">
        <v>11</v>
      </c>
      <c r="C810" t="s">
        <v>18</v>
      </c>
      <c r="D810" t="s">
        <v>713</v>
      </c>
      <c r="E810" t="s">
        <v>1804</v>
      </c>
      <c r="F810" t="s">
        <v>1853</v>
      </c>
      <c r="H810" t="s">
        <v>1863</v>
      </c>
      <c r="J810" t="s">
        <v>1867</v>
      </c>
    </row>
    <row r="811" spans="1:10">
      <c r="A811" s="1">
        <f>HYPERLINK("https://cms.ls-nyc.org/matter/dynamic-profile/view/1884657","18-1884657")</f>
        <v>0</v>
      </c>
      <c r="B811" t="s">
        <v>13</v>
      </c>
      <c r="C811" t="s">
        <v>57</v>
      </c>
      <c r="D811" t="s">
        <v>714</v>
      </c>
      <c r="E811" t="s">
        <v>1804</v>
      </c>
      <c r="F811" t="s">
        <v>1853</v>
      </c>
      <c r="H811" t="s">
        <v>1863</v>
      </c>
      <c r="J811" t="s">
        <v>1867</v>
      </c>
    </row>
    <row r="812" spans="1:10">
      <c r="A812" s="1">
        <f>HYPERLINK("https://cms.ls-nyc.org/matter/dynamic-profile/view/1884496","18-1884496")</f>
        <v>0</v>
      </c>
      <c r="B812" t="s">
        <v>15</v>
      </c>
      <c r="C812" t="s">
        <v>34</v>
      </c>
      <c r="D812" t="s">
        <v>715</v>
      </c>
      <c r="E812" t="s">
        <v>1806</v>
      </c>
      <c r="F812" t="s">
        <v>1853</v>
      </c>
      <c r="H812" t="s">
        <v>1863</v>
      </c>
      <c r="J812" t="s">
        <v>1869</v>
      </c>
    </row>
    <row r="813" spans="1:10">
      <c r="A813" s="1">
        <f>HYPERLINK("https://cms.ls-nyc.org/matter/dynamic-profile/view/1884530","18-1884530")</f>
        <v>0</v>
      </c>
      <c r="B813" t="s">
        <v>10</v>
      </c>
      <c r="C813" t="s">
        <v>16</v>
      </c>
      <c r="D813" t="s">
        <v>716</v>
      </c>
      <c r="E813" t="s">
        <v>1807</v>
      </c>
      <c r="F813" t="s">
        <v>1853</v>
      </c>
      <c r="H813" t="s">
        <v>1863</v>
      </c>
      <c r="J813" t="s">
        <v>1869</v>
      </c>
    </row>
    <row r="814" spans="1:10">
      <c r="A814" s="1">
        <f>HYPERLINK("https://cms.ls-nyc.org/matter/dynamic-profile/view/1884647","18-1884647")</f>
        <v>0</v>
      </c>
      <c r="B814" t="s">
        <v>13</v>
      </c>
      <c r="C814" t="s">
        <v>24</v>
      </c>
      <c r="D814" t="s">
        <v>717</v>
      </c>
      <c r="E814" t="s">
        <v>1816</v>
      </c>
      <c r="F814" t="s">
        <v>1853</v>
      </c>
      <c r="H814" t="s">
        <v>1863</v>
      </c>
      <c r="J814" t="s">
        <v>1867</v>
      </c>
    </row>
    <row r="815" spans="1:10">
      <c r="A815" s="1">
        <f>HYPERLINK("https://cms.ls-nyc.org/matter/dynamic-profile/view/1884433","18-1884433")</f>
        <v>0</v>
      </c>
      <c r="B815" t="s">
        <v>11</v>
      </c>
      <c r="C815" t="s">
        <v>32</v>
      </c>
      <c r="D815" t="s">
        <v>718</v>
      </c>
      <c r="E815" t="s">
        <v>1799</v>
      </c>
      <c r="H815" t="s">
        <v>1863</v>
      </c>
      <c r="J815" t="s">
        <v>1867</v>
      </c>
    </row>
    <row r="816" spans="1:10">
      <c r="A816" s="1">
        <f>HYPERLINK("https://cms.ls-nyc.org/matter/dynamic-profile/view/1884390","18-1884390")</f>
        <v>0</v>
      </c>
      <c r="B816" t="s">
        <v>14</v>
      </c>
      <c r="C816" t="s">
        <v>42</v>
      </c>
      <c r="D816" t="s">
        <v>719</v>
      </c>
      <c r="E816" t="s">
        <v>1819</v>
      </c>
      <c r="F816" t="s">
        <v>1853</v>
      </c>
      <c r="H816" t="s">
        <v>1863</v>
      </c>
      <c r="J816" t="s">
        <v>1867</v>
      </c>
    </row>
    <row r="817" spans="1:10">
      <c r="A817" s="1">
        <f>HYPERLINK("https://cms.ls-nyc.org/matter/dynamic-profile/view/1884452","18-1884452")</f>
        <v>0</v>
      </c>
      <c r="B817" t="s">
        <v>11</v>
      </c>
      <c r="C817" t="s">
        <v>32</v>
      </c>
      <c r="D817" t="s">
        <v>720</v>
      </c>
      <c r="E817" t="s">
        <v>1816</v>
      </c>
      <c r="F817" t="s">
        <v>1853</v>
      </c>
      <c r="H817" t="s">
        <v>1863</v>
      </c>
      <c r="I817" t="s">
        <v>1865</v>
      </c>
      <c r="J817" t="s">
        <v>1866</v>
      </c>
    </row>
    <row r="818" spans="1:10">
      <c r="A818" s="1">
        <f>HYPERLINK("https://cms.ls-nyc.org/matter/dynamic-profile/view/1884475","18-1884475")</f>
        <v>0</v>
      </c>
      <c r="B818" t="s">
        <v>11</v>
      </c>
      <c r="C818" t="s">
        <v>32</v>
      </c>
      <c r="D818" t="s">
        <v>720</v>
      </c>
      <c r="E818" t="s">
        <v>1804</v>
      </c>
      <c r="F818" t="s">
        <v>1853</v>
      </c>
      <c r="H818" t="s">
        <v>1863</v>
      </c>
      <c r="I818" t="s">
        <v>1865</v>
      </c>
      <c r="J818" t="s">
        <v>1866</v>
      </c>
    </row>
    <row r="819" spans="1:10">
      <c r="A819" s="1">
        <f>HYPERLINK("https://cms.ls-nyc.org/matter/dynamic-profile/view/1884302","18-1884302")</f>
        <v>0</v>
      </c>
      <c r="B819" t="s">
        <v>11</v>
      </c>
      <c r="C819" t="s">
        <v>38</v>
      </c>
      <c r="D819" t="s">
        <v>721</v>
      </c>
      <c r="E819" t="s">
        <v>1803</v>
      </c>
      <c r="F819" t="s">
        <v>1855</v>
      </c>
      <c r="H819" t="s">
        <v>1863</v>
      </c>
      <c r="J819" t="s">
        <v>1871</v>
      </c>
    </row>
    <row r="820" spans="1:10">
      <c r="A820" s="1">
        <f>HYPERLINK("https://cms.ls-nyc.org/matter/dynamic-profile/view/1884305","18-1884305")</f>
        <v>0</v>
      </c>
      <c r="B820" t="s">
        <v>11</v>
      </c>
      <c r="C820" t="s">
        <v>38</v>
      </c>
      <c r="D820" t="s">
        <v>558</v>
      </c>
      <c r="E820" t="s">
        <v>1803</v>
      </c>
      <c r="F820" t="s">
        <v>1855</v>
      </c>
      <c r="H820" t="s">
        <v>1863</v>
      </c>
      <c r="J820" t="s">
        <v>1870</v>
      </c>
    </row>
    <row r="821" spans="1:10">
      <c r="A821" s="1">
        <f>HYPERLINK("https://cms.ls-nyc.org/matter/dynamic-profile/view/1884315","18-1884315")</f>
        <v>0</v>
      </c>
      <c r="B821" t="s">
        <v>14</v>
      </c>
      <c r="C821" t="s">
        <v>25</v>
      </c>
      <c r="D821" t="s">
        <v>722</v>
      </c>
      <c r="E821" t="s">
        <v>1809</v>
      </c>
      <c r="F821" t="s">
        <v>1858</v>
      </c>
      <c r="H821" t="s">
        <v>1863</v>
      </c>
      <c r="J821" t="s">
        <v>1868</v>
      </c>
    </row>
    <row r="822" spans="1:10">
      <c r="A822" s="1">
        <f>HYPERLINK("https://cms.ls-nyc.org/matter/dynamic-profile/view/1884353","18-1884353")</f>
        <v>0</v>
      </c>
      <c r="B822" t="s">
        <v>11</v>
      </c>
      <c r="C822" t="s">
        <v>18</v>
      </c>
      <c r="D822" t="s">
        <v>713</v>
      </c>
      <c r="E822" t="s">
        <v>1807</v>
      </c>
      <c r="F822" t="s">
        <v>1853</v>
      </c>
      <c r="H822" t="s">
        <v>1863</v>
      </c>
      <c r="J822" t="s">
        <v>1869</v>
      </c>
    </row>
    <row r="823" spans="1:10">
      <c r="A823" s="1">
        <f>HYPERLINK("https://cms.ls-nyc.org/matter/dynamic-profile/view/1884217","18-1884217")</f>
        <v>0</v>
      </c>
      <c r="B823" t="s">
        <v>14</v>
      </c>
      <c r="C823" t="s">
        <v>42</v>
      </c>
      <c r="D823" t="s">
        <v>723</v>
      </c>
      <c r="E823" t="s">
        <v>1816</v>
      </c>
      <c r="F823" t="s">
        <v>1859</v>
      </c>
      <c r="H823" t="s">
        <v>1863</v>
      </c>
      <c r="J823" t="s">
        <v>1868</v>
      </c>
    </row>
    <row r="824" spans="1:10">
      <c r="A824" s="1">
        <f>HYPERLINK("https://cms.ls-nyc.org/matter/dynamic-profile/view/1884096","18-1884096")</f>
        <v>0</v>
      </c>
      <c r="B824" t="s">
        <v>14</v>
      </c>
      <c r="C824" t="s">
        <v>31</v>
      </c>
      <c r="D824" t="s">
        <v>724</v>
      </c>
      <c r="E824" t="s">
        <v>1819</v>
      </c>
      <c r="F824" t="s">
        <v>1858</v>
      </c>
      <c r="G824" t="s">
        <v>1861</v>
      </c>
      <c r="H824" t="s">
        <v>1864</v>
      </c>
      <c r="J824" t="s">
        <v>1868</v>
      </c>
    </row>
    <row r="825" spans="1:10">
      <c r="A825" s="1">
        <f>HYPERLINK("https://cms.ls-nyc.org/matter/dynamic-profile/view/1884149","18-1884149")</f>
        <v>0</v>
      </c>
      <c r="B825" t="s">
        <v>11</v>
      </c>
      <c r="C825" t="s">
        <v>41</v>
      </c>
      <c r="D825" t="s">
        <v>725</v>
      </c>
      <c r="E825" t="s">
        <v>1821</v>
      </c>
      <c r="G825" t="s">
        <v>1861</v>
      </c>
      <c r="J825" t="s">
        <v>1867</v>
      </c>
    </row>
    <row r="826" spans="1:10">
      <c r="A826" s="1">
        <f>HYPERLINK("https://cms.ls-nyc.org/matter/dynamic-profile/view/1884160","18-1884160")</f>
        <v>0</v>
      </c>
      <c r="B826" t="s">
        <v>11</v>
      </c>
      <c r="C826" t="s">
        <v>32</v>
      </c>
      <c r="D826" t="s">
        <v>726</v>
      </c>
      <c r="E826" t="s">
        <v>1804</v>
      </c>
      <c r="F826" t="s">
        <v>1853</v>
      </c>
      <c r="H826" t="s">
        <v>1863</v>
      </c>
      <c r="J826" t="s">
        <v>1867</v>
      </c>
    </row>
    <row r="827" spans="1:10">
      <c r="A827" s="1">
        <f>HYPERLINK("https://cms.ls-nyc.org/matter/dynamic-profile/view/1884162","18-1884162")</f>
        <v>0</v>
      </c>
      <c r="B827" t="s">
        <v>11</v>
      </c>
      <c r="C827" t="s">
        <v>32</v>
      </c>
      <c r="D827" t="s">
        <v>726</v>
      </c>
      <c r="E827" t="s">
        <v>1805</v>
      </c>
      <c r="F827" t="s">
        <v>1853</v>
      </c>
      <c r="H827" t="s">
        <v>1863</v>
      </c>
      <c r="J827" t="s">
        <v>1869</v>
      </c>
    </row>
    <row r="828" spans="1:10">
      <c r="A828" s="1">
        <f>HYPERLINK("https://cms.ls-nyc.org/matter/dynamic-profile/view/1884177","18-1884177")</f>
        <v>0</v>
      </c>
      <c r="B828" t="s">
        <v>10</v>
      </c>
      <c r="C828" t="s">
        <v>30</v>
      </c>
      <c r="D828" t="s">
        <v>727</v>
      </c>
      <c r="E828" t="s">
        <v>1815</v>
      </c>
      <c r="F828" t="s">
        <v>1853</v>
      </c>
      <c r="H828" t="s">
        <v>1863</v>
      </c>
      <c r="J828" t="s">
        <v>1867</v>
      </c>
    </row>
    <row r="829" spans="1:10">
      <c r="A829" s="1">
        <f>HYPERLINK("https://cms.ls-nyc.org/matter/dynamic-profile/view/1884201","18-1884201")</f>
        <v>0</v>
      </c>
      <c r="B829" t="s">
        <v>10</v>
      </c>
      <c r="C829" t="s">
        <v>16</v>
      </c>
      <c r="D829" t="s">
        <v>728</v>
      </c>
      <c r="E829" t="s">
        <v>1816</v>
      </c>
      <c r="F829" t="s">
        <v>1853</v>
      </c>
      <c r="H829" t="s">
        <v>1863</v>
      </c>
      <c r="J829" t="s">
        <v>1867</v>
      </c>
    </row>
    <row r="830" spans="1:10">
      <c r="A830" s="1">
        <f>HYPERLINK("https://cms.ls-nyc.org/matter/dynamic-profile/view/1883998","18-1883998")</f>
        <v>0</v>
      </c>
      <c r="B830" t="s">
        <v>14</v>
      </c>
      <c r="C830" t="s">
        <v>31</v>
      </c>
      <c r="D830" t="s">
        <v>729</v>
      </c>
      <c r="E830" t="s">
        <v>1807</v>
      </c>
      <c r="F830" t="s">
        <v>1859</v>
      </c>
      <c r="H830" t="s">
        <v>1863</v>
      </c>
      <c r="J830" t="s">
        <v>1868</v>
      </c>
    </row>
    <row r="831" spans="1:10">
      <c r="A831" s="1">
        <f>HYPERLINK("https://cms.ls-nyc.org/matter/dynamic-profile/view/1883995","18-1883995")</f>
        <v>0</v>
      </c>
      <c r="B831" t="s">
        <v>11</v>
      </c>
      <c r="C831" t="s">
        <v>52</v>
      </c>
      <c r="D831" t="s">
        <v>730</v>
      </c>
      <c r="F831" t="s">
        <v>1859</v>
      </c>
      <c r="H831" t="s">
        <v>1863</v>
      </c>
      <c r="J831" t="s">
        <v>1868</v>
      </c>
    </row>
    <row r="832" spans="1:10">
      <c r="A832" s="1">
        <f>HYPERLINK("https://cms.ls-nyc.org/matter/dynamic-profile/view/1883932","18-1883932")</f>
        <v>0</v>
      </c>
      <c r="B832" t="s">
        <v>10</v>
      </c>
      <c r="C832" t="s">
        <v>16</v>
      </c>
      <c r="D832" t="s">
        <v>731</v>
      </c>
      <c r="E832" t="s">
        <v>1805</v>
      </c>
      <c r="F832" t="s">
        <v>1853</v>
      </c>
      <c r="H832" t="s">
        <v>1863</v>
      </c>
      <c r="J832" t="s">
        <v>1869</v>
      </c>
    </row>
    <row r="833" spans="1:10">
      <c r="A833" s="1">
        <f>HYPERLINK("https://cms.ls-nyc.org/matter/dynamic-profile/view/1883937","18-1883937")</f>
        <v>0</v>
      </c>
      <c r="B833" t="s">
        <v>10</v>
      </c>
      <c r="C833" t="s">
        <v>16</v>
      </c>
      <c r="D833" t="s">
        <v>732</v>
      </c>
      <c r="E833" t="s">
        <v>1806</v>
      </c>
      <c r="F833" t="s">
        <v>1853</v>
      </c>
      <c r="H833" t="s">
        <v>1863</v>
      </c>
      <c r="J833" t="s">
        <v>1869</v>
      </c>
    </row>
    <row r="834" spans="1:10">
      <c r="A834" s="1">
        <f>HYPERLINK("https://cms.ls-nyc.org/matter/dynamic-profile/view/1883943","18-1883943")</f>
        <v>0</v>
      </c>
      <c r="B834" t="s">
        <v>10</v>
      </c>
      <c r="C834" t="s">
        <v>16</v>
      </c>
      <c r="D834" t="s">
        <v>732</v>
      </c>
      <c r="E834" t="s">
        <v>1799</v>
      </c>
      <c r="F834" t="s">
        <v>1853</v>
      </c>
      <c r="H834" t="s">
        <v>1863</v>
      </c>
      <c r="J834" t="s">
        <v>1867</v>
      </c>
    </row>
    <row r="835" spans="1:10">
      <c r="A835" s="1">
        <f>HYPERLINK("https://cms.ls-nyc.org/matter/dynamic-profile/view/1883982","18-1883982")</f>
        <v>0</v>
      </c>
      <c r="B835" t="s">
        <v>10</v>
      </c>
      <c r="C835" t="s">
        <v>16</v>
      </c>
      <c r="D835" t="s">
        <v>733</v>
      </c>
      <c r="E835" t="s">
        <v>1816</v>
      </c>
      <c r="F835" t="s">
        <v>1853</v>
      </c>
      <c r="H835" t="s">
        <v>1863</v>
      </c>
      <c r="J835" t="s">
        <v>1867</v>
      </c>
    </row>
    <row r="836" spans="1:10">
      <c r="A836" s="1">
        <f>HYPERLINK("https://cms.ls-nyc.org/matter/dynamic-profile/view/1884002","18-1884002")</f>
        <v>0</v>
      </c>
      <c r="B836" t="s">
        <v>12</v>
      </c>
      <c r="C836" t="s">
        <v>20</v>
      </c>
      <c r="D836" t="s">
        <v>734</v>
      </c>
      <c r="F836" t="s">
        <v>1859</v>
      </c>
      <c r="H836" t="s">
        <v>1863</v>
      </c>
      <c r="J836" t="s">
        <v>1868</v>
      </c>
    </row>
    <row r="837" spans="1:10">
      <c r="A837" s="1">
        <f>HYPERLINK("https://cms.ls-nyc.org/matter/dynamic-profile/view/1884026","18-1884026")</f>
        <v>0</v>
      </c>
      <c r="B837" t="s">
        <v>12</v>
      </c>
      <c r="C837" t="s">
        <v>21</v>
      </c>
      <c r="D837" t="s">
        <v>464</v>
      </c>
      <c r="E837" t="s">
        <v>1809</v>
      </c>
      <c r="F837" t="s">
        <v>1855</v>
      </c>
      <c r="H837" t="s">
        <v>1863</v>
      </c>
      <c r="J837" t="s">
        <v>1871</v>
      </c>
    </row>
    <row r="838" spans="1:10">
      <c r="A838" s="1">
        <f>HYPERLINK("https://cms.ls-nyc.org/matter/dynamic-profile/view/1884044","18-1884044")</f>
        <v>0</v>
      </c>
      <c r="B838" t="s">
        <v>12</v>
      </c>
      <c r="C838" t="s">
        <v>21</v>
      </c>
      <c r="D838" t="s">
        <v>735</v>
      </c>
      <c r="E838" t="s">
        <v>1804</v>
      </c>
      <c r="F838" t="s">
        <v>1853</v>
      </c>
      <c r="H838" t="s">
        <v>1863</v>
      </c>
      <c r="J838" t="s">
        <v>1867</v>
      </c>
    </row>
    <row r="839" spans="1:10">
      <c r="A839" s="1">
        <f>HYPERLINK("https://cms.ls-nyc.org/matter/dynamic-profile/view/1884077","18-1884077")</f>
        <v>0</v>
      </c>
      <c r="B839" t="s">
        <v>15</v>
      </c>
      <c r="C839" t="s">
        <v>34</v>
      </c>
      <c r="D839" t="s">
        <v>736</v>
      </c>
      <c r="E839" t="s">
        <v>1810</v>
      </c>
      <c r="F839" t="s">
        <v>1853</v>
      </c>
      <c r="H839" t="s">
        <v>1863</v>
      </c>
      <c r="J839" t="s">
        <v>1869</v>
      </c>
    </row>
    <row r="840" spans="1:10">
      <c r="A840" s="1">
        <f>HYPERLINK("https://cms.ls-nyc.org/matter/dynamic-profile/view/1883820","18-1883820")</f>
        <v>0</v>
      </c>
      <c r="B840" t="s">
        <v>10</v>
      </c>
      <c r="C840" t="s">
        <v>30</v>
      </c>
      <c r="D840" t="s">
        <v>737</v>
      </c>
      <c r="E840" t="s">
        <v>1807</v>
      </c>
      <c r="F840" t="s">
        <v>1858</v>
      </c>
      <c r="H840" t="s">
        <v>1863</v>
      </c>
      <c r="I840" t="s">
        <v>1865</v>
      </c>
      <c r="J840" t="s">
        <v>1866</v>
      </c>
    </row>
    <row r="841" spans="1:10">
      <c r="A841" s="1">
        <f>HYPERLINK("https://cms.ls-nyc.org/matter/dynamic-profile/view/1883921","18-1883921")</f>
        <v>0</v>
      </c>
      <c r="B841" t="s">
        <v>12</v>
      </c>
      <c r="C841" t="s">
        <v>21</v>
      </c>
      <c r="D841" t="s">
        <v>738</v>
      </c>
      <c r="E841" t="s">
        <v>1804</v>
      </c>
      <c r="F841" t="s">
        <v>1853</v>
      </c>
      <c r="H841" t="s">
        <v>1863</v>
      </c>
      <c r="J841" t="s">
        <v>1867</v>
      </c>
    </row>
    <row r="842" spans="1:10">
      <c r="A842" s="1">
        <f>HYPERLINK("https://cms.ls-nyc.org/matter/dynamic-profile/view/1883801","18-1883801")</f>
        <v>0</v>
      </c>
      <c r="B842" t="s">
        <v>14</v>
      </c>
      <c r="C842" t="s">
        <v>31</v>
      </c>
      <c r="D842" t="s">
        <v>739</v>
      </c>
      <c r="E842" t="s">
        <v>1823</v>
      </c>
      <c r="F842" t="s">
        <v>1859</v>
      </c>
      <c r="H842" t="s">
        <v>1863</v>
      </c>
      <c r="J842" t="s">
        <v>1868</v>
      </c>
    </row>
    <row r="843" spans="1:10">
      <c r="A843" s="1">
        <f>HYPERLINK("https://cms.ls-nyc.org/matter/dynamic-profile/view/1883835","18-1883835")</f>
        <v>0</v>
      </c>
      <c r="B843" t="s">
        <v>15</v>
      </c>
      <c r="C843" t="s">
        <v>35</v>
      </c>
      <c r="D843" t="s">
        <v>533</v>
      </c>
      <c r="E843" t="s">
        <v>1803</v>
      </c>
      <c r="F843" t="s">
        <v>1855</v>
      </c>
      <c r="H843" t="s">
        <v>1863</v>
      </c>
      <c r="J843" t="s">
        <v>1871</v>
      </c>
    </row>
    <row r="844" spans="1:10">
      <c r="A844" s="1">
        <f>HYPERLINK("https://cms.ls-nyc.org/matter/dynamic-profile/view/1883836","18-1883836")</f>
        <v>0</v>
      </c>
      <c r="B844" t="s">
        <v>15</v>
      </c>
      <c r="C844" t="s">
        <v>35</v>
      </c>
      <c r="D844" t="s">
        <v>696</v>
      </c>
      <c r="E844" t="s">
        <v>1809</v>
      </c>
      <c r="F844" t="s">
        <v>1855</v>
      </c>
      <c r="H844" t="s">
        <v>1863</v>
      </c>
      <c r="J844" t="s">
        <v>1870</v>
      </c>
    </row>
    <row r="845" spans="1:10">
      <c r="A845" s="1">
        <f>HYPERLINK("https://cms.ls-nyc.org/matter/dynamic-profile/view/1883840","18-1883840")</f>
        <v>0</v>
      </c>
      <c r="B845" t="s">
        <v>15</v>
      </c>
      <c r="C845" t="s">
        <v>35</v>
      </c>
      <c r="D845" t="s">
        <v>740</v>
      </c>
      <c r="E845" t="s">
        <v>1809</v>
      </c>
      <c r="G845" t="s">
        <v>1861</v>
      </c>
      <c r="J845" t="s">
        <v>1871</v>
      </c>
    </row>
    <row r="846" spans="1:10">
      <c r="A846" s="1">
        <f>HYPERLINK("https://cms.ls-nyc.org/matter/dynamic-profile/view/1883846","18-1883846")</f>
        <v>0</v>
      </c>
      <c r="B846" t="s">
        <v>15</v>
      </c>
      <c r="C846" t="s">
        <v>35</v>
      </c>
      <c r="D846" t="s">
        <v>741</v>
      </c>
      <c r="E846" t="s">
        <v>1809</v>
      </c>
      <c r="H846" t="s">
        <v>1863</v>
      </c>
      <c r="J846" t="s">
        <v>1870</v>
      </c>
    </row>
    <row r="847" spans="1:10">
      <c r="A847" s="1">
        <f>HYPERLINK("https://cms.ls-nyc.org/matter/dynamic-profile/view/1883883","18-1883883")</f>
        <v>0</v>
      </c>
      <c r="B847" t="s">
        <v>15</v>
      </c>
      <c r="C847" t="s">
        <v>35</v>
      </c>
      <c r="D847" t="s">
        <v>617</v>
      </c>
      <c r="E847" t="s">
        <v>1809</v>
      </c>
      <c r="H847" t="s">
        <v>1863</v>
      </c>
      <c r="J847" t="s">
        <v>1871</v>
      </c>
    </row>
    <row r="848" spans="1:10">
      <c r="A848" s="1">
        <f>HYPERLINK("https://cms.ls-nyc.org/matter/dynamic-profile/view/1883890","18-1883890")</f>
        <v>0</v>
      </c>
      <c r="B848" t="s">
        <v>10</v>
      </c>
      <c r="C848" t="s">
        <v>16</v>
      </c>
      <c r="D848" t="s">
        <v>742</v>
      </c>
      <c r="E848" t="s">
        <v>1800</v>
      </c>
      <c r="F848" t="s">
        <v>1853</v>
      </c>
      <c r="H848" t="s">
        <v>1863</v>
      </c>
      <c r="J848" t="s">
        <v>1867</v>
      </c>
    </row>
    <row r="849" spans="1:10">
      <c r="A849" s="1">
        <f>HYPERLINK("https://cms.ls-nyc.org/matter/dynamic-profile/view/1883918","18-1883918")</f>
        <v>0</v>
      </c>
      <c r="B849" t="s">
        <v>11</v>
      </c>
      <c r="C849" t="s">
        <v>37</v>
      </c>
      <c r="D849" t="s">
        <v>277</v>
      </c>
      <c r="E849" t="s">
        <v>1809</v>
      </c>
      <c r="F849" t="s">
        <v>1855</v>
      </c>
      <c r="H849" t="s">
        <v>1863</v>
      </c>
      <c r="J849" t="s">
        <v>1870</v>
      </c>
    </row>
    <row r="850" spans="1:10">
      <c r="A850" s="1">
        <f>HYPERLINK("https://cms.ls-nyc.org/matter/dynamic-profile/view/1881250","18-1881250")</f>
        <v>0</v>
      </c>
      <c r="B850" t="s">
        <v>13</v>
      </c>
      <c r="C850" t="s">
        <v>22</v>
      </c>
      <c r="D850" t="s">
        <v>743</v>
      </c>
      <c r="E850" t="s">
        <v>1807</v>
      </c>
      <c r="F850" t="s">
        <v>1853</v>
      </c>
      <c r="H850" t="s">
        <v>1863</v>
      </c>
      <c r="J850" t="s">
        <v>1869</v>
      </c>
    </row>
    <row r="851" spans="1:10">
      <c r="A851" s="1">
        <f>HYPERLINK("https://cms.ls-nyc.org/matter/dynamic-profile/view/1883699","18-1883699")</f>
        <v>0</v>
      </c>
      <c r="B851" t="s">
        <v>15</v>
      </c>
      <c r="C851" t="s">
        <v>27</v>
      </c>
      <c r="D851" t="s">
        <v>686</v>
      </c>
      <c r="E851" t="s">
        <v>1815</v>
      </c>
      <c r="G851" t="s">
        <v>1861</v>
      </c>
      <c r="J851" t="s">
        <v>1867</v>
      </c>
    </row>
    <row r="852" spans="1:10">
      <c r="A852" s="1">
        <f>HYPERLINK("https://cms.ls-nyc.org/matter/dynamic-profile/view/1883751","18-1883751")</f>
        <v>0</v>
      </c>
      <c r="B852" t="s">
        <v>15</v>
      </c>
      <c r="C852" t="s">
        <v>35</v>
      </c>
      <c r="D852" t="s">
        <v>744</v>
      </c>
      <c r="E852" t="s">
        <v>1802</v>
      </c>
      <c r="H852" t="s">
        <v>1863</v>
      </c>
      <c r="J852" t="s">
        <v>1869</v>
      </c>
    </row>
    <row r="853" spans="1:10">
      <c r="A853" s="1">
        <f>HYPERLINK("https://cms.ls-nyc.org/matter/dynamic-profile/view/1883754","18-1883754")</f>
        <v>0</v>
      </c>
      <c r="B853" t="s">
        <v>15</v>
      </c>
      <c r="C853" t="s">
        <v>35</v>
      </c>
      <c r="D853" t="s">
        <v>744</v>
      </c>
      <c r="E853" t="s">
        <v>1808</v>
      </c>
      <c r="H853" t="s">
        <v>1863</v>
      </c>
      <c r="J853" t="s">
        <v>1867</v>
      </c>
    </row>
    <row r="854" spans="1:10">
      <c r="A854" s="1">
        <f>HYPERLINK("https://cms.ls-nyc.org/matter/dynamic-profile/view/1883764","18-1883764")</f>
        <v>0</v>
      </c>
      <c r="B854" t="s">
        <v>15</v>
      </c>
      <c r="C854" t="s">
        <v>35</v>
      </c>
      <c r="D854" t="s">
        <v>744</v>
      </c>
      <c r="E854" t="s">
        <v>1809</v>
      </c>
      <c r="F854" t="s">
        <v>1855</v>
      </c>
      <c r="H854" t="s">
        <v>1863</v>
      </c>
      <c r="J854" t="s">
        <v>1870</v>
      </c>
    </row>
    <row r="855" spans="1:10">
      <c r="A855" s="1">
        <f>HYPERLINK("https://cms.ls-nyc.org/matter/dynamic-profile/view/1883635","18-1883635")</f>
        <v>0</v>
      </c>
      <c r="B855" t="s">
        <v>12</v>
      </c>
      <c r="C855" t="s">
        <v>33</v>
      </c>
      <c r="D855" t="s">
        <v>182</v>
      </c>
      <c r="E855" t="s">
        <v>1804</v>
      </c>
      <c r="F855" t="s">
        <v>1853</v>
      </c>
      <c r="H855" t="s">
        <v>1863</v>
      </c>
      <c r="J855" t="s">
        <v>1867</v>
      </c>
    </row>
    <row r="856" spans="1:10">
      <c r="A856" s="1">
        <f>HYPERLINK("https://cms.ls-nyc.org/matter/dynamic-profile/view/1883579","18-1883579")</f>
        <v>0</v>
      </c>
      <c r="B856" t="s">
        <v>15</v>
      </c>
      <c r="C856" t="s">
        <v>35</v>
      </c>
      <c r="D856" t="s">
        <v>745</v>
      </c>
      <c r="E856" t="s">
        <v>1808</v>
      </c>
      <c r="H856" t="s">
        <v>1863</v>
      </c>
      <c r="J856" t="s">
        <v>1867</v>
      </c>
    </row>
    <row r="857" spans="1:10">
      <c r="A857" s="1">
        <f>HYPERLINK("https://cms.ls-nyc.org/matter/dynamic-profile/view/1883599","18-1883599")</f>
        <v>0</v>
      </c>
      <c r="B857" t="s">
        <v>12</v>
      </c>
      <c r="C857" t="s">
        <v>21</v>
      </c>
      <c r="D857" t="s">
        <v>746</v>
      </c>
      <c r="E857" t="s">
        <v>1809</v>
      </c>
      <c r="F857" t="s">
        <v>1855</v>
      </c>
      <c r="H857" t="s">
        <v>1863</v>
      </c>
      <c r="J857" t="s">
        <v>1871</v>
      </c>
    </row>
    <row r="858" spans="1:10">
      <c r="A858" s="1">
        <f>HYPERLINK("https://cms.ls-nyc.org/matter/dynamic-profile/view/1883605","18-1883605")</f>
        <v>0</v>
      </c>
      <c r="B858" t="s">
        <v>15</v>
      </c>
      <c r="C858" t="s">
        <v>35</v>
      </c>
      <c r="D858" t="s">
        <v>747</v>
      </c>
      <c r="E858" t="s">
        <v>1803</v>
      </c>
      <c r="F858" t="s">
        <v>1855</v>
      </c>
      <c r="H858" t="s">
        <v>1863</v>
      </c>
      <c r="J858" t="s">
        <v>1870</v>
      </c>
    </row>
    <row r="859" spans="1:10">
      <c r="A859" s="1">
        <f>HYPERLINK("https://cms.ls-nyc.org/matter/dynamic-profile/view/1883611","18-1883611")</f>
        <v>0</v>
      </c>
      <c r="B859" t="s">
        <v>15</v>
      </c>
      <c r="C859" t="s">
        <v>35</v>
      </c>
      <c r="D859" t="s">
        <v>747</v>
      </c>
      <c r="E859" t="s">
        <v>1802</v>
      </c>
      <c r="H859" t="s">
        <v>1863</v>
      </c>
      <c r="J859" t="s">
        <v>1869</v>
      </c>
    </row>
    <row r="860" spans="1:10">
      <c r="A860" s="1">
        <f>HYPERLINK("https://cms.ls-nyc.org/matter/dynamic-profile/view/1883646","18-1883646")</f>
        <v>0</v>
      </c>
      <c r="B860" t="s">
        <v>14</v>
      </c>
      <c r="C860" t="s">
        <v>31</v>
      </c>
      <c r="D860" t="s">
        <v>554</v>
      </c>
      <c r="E860" t="s">
        <v>1800</v>
      </c>
      <c r="F860" t="s">
        <v>1853</v>
      </c>
      <c r="H860" t="s">
        <v>1863</v>
      </c>
      <c r="J860" t="s">
        <v>1867</v>
      </c>
    </row>
    <row r="861" spans="1:10">
      <c r="A861" s="1">
        <f>HYPERLINK("https://cms.ls-nyc.org/matter/dynamic-profile/view/1883676","18-1883676")</f>
        <v>0</v>
      </c>
      <c r="B861" t="s">
        <v>15</v>
      </c>
      <c r="C861" t="s">
        <v>27</v>
      </c>
      <c r="D861" t="s">
        <v>748</v>
      </c>
      <c r="E861" t="s">
        <v>1804</v>
      </c>
      <c r="G861" t="s">
        <v>1861</v>
      </c>
      <c r="J861" t="s">
        <v>1867</v>
      </c>
    </row>
    <row r="862" spans="1:10">
      <c r="A862" s="1">
        <f>HYPERLINK("https://cms.ls-nyc.org/matter/dynamic-profile/view/1883531","18-1883531")</f>
        <v>0</v>
      </c>
      <c r="B862" t="s">
        <v>12</v>
      </c>
      <c r="C862" t="s">
        <v>40</v>
      </c>
      <c r="D862" t="s">
        <v>749</v>
      </c>
      <c r="F862" t="s">
        <v>1853</v>
      </c>
      <c r="H862" t="s">
        <v>1863</v>
      </c>
      <c r="J862" t="s">
        <v>1866</v>
      </c>
    </row>
    <row r="863" spans="1:10">
      <c r="A863" s="1">
        <f>HYPERLINK("https://cms.ls-nyc.org/matter/dynamic-profile/view/1881133","18-1881133")</f>
        <v>0</v>
      </c>
      <c r="B863" t="s">
        <v>10</v>
      </c>
      <c r="C863" t="s">
        <v>17</v>
      </c>
      <c r="D863" t="s">
        <v>385</v>
      </c>
      <c r="E863" t="s">
        <v>1825</v>
      </c>
      <c r="F863" t="s">
        <v>1853</v>
      </c>
      <c r="H863" t="s">
        <v>1863</v>
      </c>
      <c r="J863" t="s">
        <v>1867</v>
      </c>
    </row>
    <row r="864" spans="1:10">
      <c r="A864" s="1">
        <f>HYPERLINK("https://cms.ls-nyc.org/matter/dynamic-profile/view/1883108","18-1883108")</f>
        <v>0</v>
      </c>
      <c r="B864" t="s">
        <v>11</v>
      </c>
      <c r="C864" t="s">
        <v>37</v>
      </c>
      <c r="D864" t="s">
        <v>750</v>
      </c>
      <c r="E864" t="s">
        <v>1803</v>
      </c>
      <c r="F864" t="s">
        <v>1858</v>
      </c>
      <c r="H864" t="s">
        <v>1863</v>
      </c>
      <c r="J864" t="s">
        <v>1868</v>
      </c>
    </row>
    <row r="865" spans="1:10">
      <c r="A865" s="1">
        <f>HYPERLINK("https://cms.ls-nyc.org/matter/dynamic-profile/view/1883486","18-1883486")</f>
        <v>0</v>
      </c>
      <c r="B865" t="s">
        <v>11</v>
      </c>
      <c r="C865" t="s">
        <v>18</v>
      </c>
      <c r="D865" t="s">
        <v>751</v>
      </c>
      <c r="F865" t="s">
        <v>1859</v>
      </c>
      <c r="G865" t="s">
        <v>1861</v>
      </c>
      <c r="J865" t="s">
        <v>1868</v>
      </c>
    </row>
    <row r="866" spans="1:10">
      <c r="A866" s="1">
        <f>HYPERLINK("https://cms.ls-nyc.org/matter/dynamic-profile/view/1883522","18-1883522")</f>
        <v>0</v>
      </c>
      <c r="B866" t="s">
        <v>12</v>
      </c>
      <c r="C866" t="s">
        <v>20</v>
      </c>
      <c r="D866" t="s">
        <v>752</v>
      </c>
      <c r="G866" t="s">
        <v>1861</v>
      </c>
      <c r="J866" t="s">
        <v>1866</v>
      </c>
    </row>
    <row r="867" spans="1:10">
      <c r="A867" s="1">
        <f>HYPERLINK("https://cms.ls-nyc.org/matter/dynamic-profile/view/1883406","18-1883406")</f>
        <v>0</v>
      </c>
      <c r="B867" t="s">
        <v>15</v>
      </c>
      <c r="C867" t="s">
        <v>35</v>
      </c>
      <c r="D867" t="s">
        <v>753</v>
      </c>
      <c r="E867" t="s">
        <v>1810</v>
      </c>
      <c r="F867" t="s">
        <v>1853</v>
      </c>
      <c r="H867" t="s">
        <v>1863</v>
      </c>
      <c r="J867" t="s">
        <v>1869</v>
      </c>
    </row>
    <row r="868" spans="1:10">
      <c r="A868" s="1">
        <f>HYPERLINK("https://cms.ls-nyc.org/matter/dynamic-profile/view/1883441","18-1883441")</f>
        <v>0</v>
      </c>
      <c r="B868" t="s">
        <v>13</v>
      </c>
      <c r="C868" t="s">
        <v>43</v>
      </c>
      <c r="D868" t="s">
        <v>754</v>
      </c>
      <c r="E868" t="s">
        <v>1809</v>
      </c>
      <c r="F868" t="s">
        <v>1855</v>
      </c>
      <c r="H868" t="s">
        <v>1863</v>
      </c>
      <c r="J868" t="s">
        <v>1870</v>
      </c>
    </row>
    <row r="869" spans="1:10">
      <c r="A869" s="1">
        <f>HYPERLINK("https://cms.ls-nyc.org/matter/dynamic-profile/view/1883250","18-1883250")</f>
        <v>0</v>
      </c>
      <c r="B869" t="s">
        <v>14</v>
      </c>
      <c r="C869" t="s">
        <v>31</v>
      </c>
      <c r="D869" t="s">
        <v>755</v>
      </c>
      <c r="E869" t="s">
        <v>1799</v>
      </c>
      <c r="F869" t="s">
        <v>1853</v>
      </c>
      <c r="H869" t="s">
        <v>1863</v>
      </c>
      <c r="J869" t="s">
        <v>1869</v>
      </c>
    </row>
    <row r="870" spans="1:10">
      <c r="A870" s="1">
        <f>HYPERLINK("https://cms.ls-nyc.org/matter/dynamic-profile/view/1870885","18-1870885")</f>
        <v>0</v>
      </c>
      <c r="B870" t="s">
        <v>11</v>
      </c>
      <c r="C870" t="s">
        <v>18</v>
      </c>
      <c r="D870" t="s">
        <v>756</v>
      </c>
      <c r="E870" t="s">
        <v>1803</v>
      </c>
      <c r="F870" t="s">
        <v>1855</v>
      </c>
      <c r="H870" t="s">
        <v>1863</v>
      </c>
      <c r="J870" t="s">
        <v>1871</v>
      </c>
    </row>
    <row r="871" spans="1:10">
      <c r="A871" s="1">
        <f>HYPERLINK("https://cms.ls-nyc.org/matter/dynamic-profile/view/1874751","18-1874751")</f>
        <v>0</v>
      </c>
      <c r="B871" t="s">
        <v>11</v>
      </c>
      <c r="C871" t="s">
        <v>38</v>
      </c>
      <c r="D871" t="s">
        <v>757</v>
      </c>
      <c r="E871" t="s">
        <v>1819</v>
      </c>
      <c r="F871" t="s">
        <v>1853</v>
      </c>
      <c r="H871" t="s">
        <v>1863</v>
      </c>
      <c r="J871" t="s">
        <v>1867</v>
      </c>
    </row>
    <row r="872" spans="1:10">
      <c r="A872" s="1">
        <f>HYPERLINK("https://cms.ls-nyc.org/matter/dynamic-profile/view/1883242","18-1883242")</f>
        <v>0</v>
      </c>
      <c r="B872" t="s">
        <v>10</v>
      </c>
      <c r="C872" t="s">
        <v>17</v>
      </c>
      <c r="D872" t="s">
        <v>758</v>
      </c>
      <c r="E872" t="s">
        <v>1815</v>
      </c>
      <c r="F872" t="s">
        <v>1853</v>
      </c>
      <c r="H872" t="s">
        <v>1863</v>
      </c>
      <c r="J872" t="s">
        <v>1867</v>
      </c>
    </row>
    <row r="873" spans="1:10">
      <c r="A873" s="1">
        <f>HYPERLINK("https://cms.ls-nyc.org/matter/dynamic-profile/view/1883274","18-1883274")</f>
        <v>0</v>
      </c>
      <c r="B873" t="s">
        <v>14</v>
      </c>
      <c r="C873" t="s">
        <v>31</v>
      </c>
      <c r="D873" t="s">
        <v>703</v>
      </c>
      <c r="E873" t="s">
        <v>1803</v>
      </c>
      <c r="F873" t="s">
        <v>1855</v>
      </c>
      <c r="H873" t="s">
        <v>1863</v>
      </c>
      <c r="J873" t="s">
        <v>1871</v>
      </c>
    </row>
    <row r="874" spans="1:10">
      <c r="A874" s="1">
        <f>HYPERLINK("https://cms.ls-nyc.org/matter/dynamic-profile/view/1883285","18-1883285")</f>
        <v>0</v>
      </c>
      <c r="B874" t="s">
        <v>12</v>
      </c>
      <c r="C874" t="s">
        <v>40</v>
      </c>
      <c r="D874" t="s">
        <v>759</v>
      </c>
      <c r="E874" t="s">
        <v>1807</v>
      </c>
      <c r="G874" t="s">
        <v>1861</v>
      </c>
      <c r="J874" t="s">
        <v>1869</v>
      </c>
    </row>
    <row r="875" spans="1:10">
      <c r="A875" s="1">
        <f>HYPERLINK("https://cms.ls-nyc.org/matter/dynamic-profile/view/1883292","18-1883292")</f>
        <v>0</v>
      </c>
      <c r="B875" t="s">
        <v>14</v>
      </c>
      <c r="C875" t="s">
        <v>31</v>
      </c>
      <c r="D875" t="s">
        <v>320</v>
      </c>
      <c r="E875" t="s">
        <v>1810</v>
      </c>
      <c r="F875" t="s">
        <v>1859</v>
      </c>
      <c r="H875" t="s">
        <v>1863</v>
      </c>
      <c r="J875" t="s">
        <v>1868</v>
      </c>
    </row>
    <row r="876" spans="1:10">
      <c r="A876" s="1">
        <f>HYPERLINK("https://cms.ls-nyc.org/matter/dynamic-profile/view/1883293","18-1883293")</f>
        <v>0</v>
      </c>
      <c r="B876" t="s">
        <v>15</v>
      </c>
      <c r="C876" t="s">
        <v>35</v>
      </c>
      <c r="D876" t="s">
        <v>168</v>
      </c>
      <c r="E876" t="s">
        <v>1802</v>
      </c>
      <c r="H876" t="s">
        <v>1863</v>
      </c>
      <c r="J876" t="s">
        <v>1869</v>
      </c>
    </row>
    <row r="877" spans="1:10">
      <c r="A877" s="1">
        <f>HYPERLINK("https://cms.ls-nyc.org/matter/dynamic-profile/view/1883358","18-1883358")</f>
        <v>0</v>
      </c>
      <c r="B877" t="s">
        <v>11</v>
      </c>
      <c r="C877" t="s">
        <v>41</v>
      </c>
      <c r="D877" t="s">
        <v>760</v>
      </c>
      <c r="E877" t="s">
        <v>1821</v>
      </c>
      <c r="F877" t="s">
        <v>1853</v>
      </c>
      <c r="G877" t="s">
        <v>1861</v>
      </c>
      <c r="H877" t="s">
        <v>1863</v>
      </c>
      <c r="J877" t="s">
        <v>1867</v>
      </c>
    </row>
    <row r="878" spans="1:10">
      <c r="A878" s="1">
        <f>HYPERLINK("https://cms.ls-nyc.org/matter/dynamic-profile/view/1883181","18-1883181")</f>
        <v>0</v>
      </c>
      <c r="B878" t="s">
        <v>14</v>
      </c>
      <c r="C878" t="s">
        <v>25</v>
      </c>
      <c r="D878" t="s">
        <v>761</v>
      </c>
      <c r="E878" t="s">
        <v>1800</v>
      </c>
      <c r="F878" t="s">
        <v>1858</v>
      </c>
      <c r="G878" t="s">
        <v>1861</v>
      </c>
      <c r="H878" t="s">
        <v>1864</v>
      </c>
      <c r="J878" t="s">
        <v>1868</v>
      </c>
    </row>
    <row r="879" spans="1:10">
      <c r="A879" s="1">
        <f>HYPERLINK("https://cms.ls-nyc.org/matter/dynamic-profile/view/1883205","18-1883205")</f>
        <v>0</v>
      </c>
      <c r="B879" t="s">
        <v>11</v>
      </c>
      <c r="C879" t="s">
        <v>32</v>
      </c>
      <c r="D879" t="s">
        <v>762</v>
      </c>
      <c r="E879" t="s">
        <v>1804</v>
      </c>
      <c r="F879" t="s">
        <v>1853</v>
      </c>
      <c r="H879" t="s">
        <v>1863</v>
      </c>
      <c r="J879" t="s">
        <v>1867</v>
      </c>
    </row>
    <row r="880" spans="1:10">
      <c r="A880" s="1">
        <f>HYPERLINK("https://cms.ls-nyc.org/matter/dynamic-profile/view/1883324","18-1883324")</f>
        <v>0</v>
      </c>
      <c r="B880" t="s">
        <v>13</v>
      </c>
      <c r="C880" t="s">
        <v>43</v>
      </c>
      <c r="D880" t="s">
        <v>763</v>
      </c>
      <c r="E880" t="s">
        <v>1805</v>
      </c>
      <c r="F880" t="s">
        <v>1853</v>
      </c>
      <c r="H880" t="s">
        <v>1863</v>
      </c>
      <c r="J880" t="s">
        <v>1869</v>
      </c>
    </row>
    <row r="881" spans="1:10">
      <c r="A881" s="1">
        <f>HYPERLINK("https://cms.ls-nyc.org/matter/dynamic-profile/view/1882978","18-1882978")</f>
        <v>0</v>
      </c>
      <c r="B881" t="s">
        <v>10</v>
      </c>
      <c r="C881" t="s">
        <v>17</v>
      </c>
      <c r="D881" t="s">
        <v>764</v>
      </c>
      <c r="E881" t="s">
        <v>1803</v>
      </c>
      <c r="F881" t="s">
        <v>1858</v>
      </c>
      <c r="H881" t="s">
        <v>1863</v>
      </c>
      <c r="J881" t="s">
        <v>1868</v>
      </c>
    </row>
    <row r="882" spans="1:10">
      <c r="A882" s="1">
        <f>HYPERLINK("https://cms.ls-nyc.org/matter/dynamic-profile/view/1882985","18-1882985")</f>
        <v>0</v>
      </c>
      <c r="B882" t="s">
        <v>10</v>
      </c>
      <c r="C882" t="s">
        <v>17</v>
      </c>
      <c r="D882" t="s">
        <v>765</v>
      </c>
      <c r="E882" t="s">
        <v>1807</v>
      </c>
      <c r="F882" t="s">
        <v>1858</v>
      </c>
      <c r="H882" t="s">
        <v>1863</v>
      </c>
      <c r="J882" t="s">
        <v>1868</v>
      </c>
    </row>
    <row r="883" spans="1:10">
      <c r="A883" s="1">
        <f>HYPERLINK("https://cms.ls-nyc.org/matter/dynamic-profile/view/1883009","18-1883009")</f>
        <v>0</v>
      </c>
      <c r="B883" t="s">
        <v>14</v>
      </c>
      <c r="C883" t="s">
        <v>42</v>
      </c>
      <c r="D883" t="s">
        <v>766</v>
      </c>
      <c r="E883" t="s">
        <v>1799</v>
      </c>
      <c r="F883" t="s">
        <v>1853</v>
      </c>
      <c r="H883" t="s">
        <v>1863</v>
      </c>
      <c r="J883" t="s">
        <v>1867</v>
      </c>
    </row>
    <row r="884" spans="1:10">
      <c r="A884" s="1">
        <f>HYPERLINK("https://cms.ls-nyc.org/matter/dynamic-profile/view/1883023","18-1883023")</f>
        <v>0</v>
      </c>
      <c r="B884" t="s">
        <v>14</v>
      </c>
      <c r="C884" t="s">
        <v>42</v>
      </c>
      <c r="D884" t="s">
        <v>767</v>
      </c>
      <c r="E884" t="s">
        <v>1799</v>
      </c>
      <c r="F884" t="s">
        <v>1853</v>
      </c>
      <c r="H884" t="s">
        <v>1863</v>
      </c>
      <c r="J884" t="s">
        <v>1867</v>
      </c>
    </row>
    <row r="885" spans="1:10">
      <c r="A885" s="1">
        <f>HYPERLINK("https://cms.ls-nyc.org/matter/dynamic-profile/view/1883005","18-1883005")</f>
        <v>0</v>
      </c>
      <c r="B885" t="s">
        <v>14</v>
      </c>
      <c r="C885" t="s">
        <v>42</v>
      </c>
      <c r="D885" t="s">
        <v>766</v>
      </c>
      <c r="E885" t="s">
        <v>1805</v>
      </c>
      <c r="F885" t="s">
        <v>1853</v>
      </c>
      <c r="H885" t="s">
        <v>1863</v>
      </c>
      <c r="J885" t="s">
        <v>1869</v>
      </c>
    </row>
    <row r="886" spans="1:10">
      <c r="A886" s="1">
        <f>HYPERLINK("https://cms.ls-nyc.org/matter/dynamic-profile/view/1883022","18-1883022")</f>
        <v>0</v>
      </c>
      <c r="B886" t="s">
        <v>14</v>
      </c>
      <c r="C886" t="s">
        <v>42</v>
      </c>
      <c r="D886" t="s">
        <v>767</v>
      </c>
      <c r="E886" t="s">
        <v>1805</v>
      </c>
      <c r="F886" t="s">
        <v>1853</v>
      </c>
      <c r="H886" t="s">
        <v>1863</v>
      </c>
      <c r="J886" t="s">
        <v>1869</v>
      </c>
    </row>
    <row r="887" spans="1:10">
      <c r="A887" s="1">
        <f>HYPERLINK("https://cms.ls-nyc.org/matter/dynamic-profile/view/1882794","18-1882794")</f>
        <v>0</v>
      </c>
      <c r="B887" t="s">
        <v>10</v>
      </c>
      <c r="C887" t="s">
        <v>17</v>
      </c>
      <c r="D887" t="s">
        <v>102</v>
      </c>
      <c r="E887" t="s">
        <v>1815</v>
      </c>
      <c r="F887" t="s">
        <v>1853</v>
      </c>
      <c r="H887" t="s">
        <v>1863</v>
      </c>
      <c r="J887" t="s">
        <v>1867</v>
      </c>
    </row>
    <row r="888" spans="1:10">
      <c r="A888" s="1">
        <f>HYPERLINK("https://cms.ls-nyc.org/matter/dynamic-profile/view/1882795","18-1882795")</f>
        <v>0</v>
      </c>
      <c r="B888" t="s">
        <v>15</v>
      </c>
      <c r="C888" t="s">
        <v>35</v>
      </c>
      <c r="D888" t="s">
        <v>661</v>
      </c>
      <c r="E888" t="s">
        <v>1803</v>
      </c>
      <c r="F888" t="s">
        <v>1855</v>
      </c>
      <c r="H888" t="s">
        <v>1863</v>
      </c>
      <c r="J888" t="s">
        <v>1871</v>
      </c>
    </row>
    <row r="889" spans="1:10">
      <c r="A889" s="1">
        <f>HYPERLINK("https://cms.ls-nyc.org/matter/dynamic-profile/view/1882862","18-1882862")</f>
        <v>0</v>
      </c>
      <c r="B889" t="s">
        <v>14</v>
      </c>
      <c r="C889" t="s">
        <v>42</v>
      </c>
      <c r="D889" t="s">
        <v>586</v>
      </c>
      <c r="E889" t="s">
        <v>1809</v>
      </c>
      <c r="F889" t="s">
        <v>1855</v>
      </c>
      <c r="H889" t="s">
        <v>1863</v>
      </c>
      <c r="J889" t="s">
        <v>1871</v>
      </c>
    </row>
    <row r="890" spans="1:10">
      <c r="A890" s="1">
        <f>HYPERLINK("https://cms.ls-nyc.org/matter/dynamic-profile/view/1882871","18-1882871")</f>
        <v>0</v>
      </c>
      <c r="B890" t="s">
        <v>14</v>
      </c>
      <c r="C890" t="s">
        <v>42</v>
      </c>
      <c r="D890" t="s">
        <v>556</v>
      </c>
      <c r="E890" t="s">
        <v>1809</v>
      </c>
      <c r="F890" t="s">
        <v>1855</v>
      </c>
      <c r="H890" t="s">
        <v>1863</v>
      </c>
      <c r="J890" t="s">
        <v>1870</v>
      </c>
    </row>
    <row r="891" spans="1:10">
      <c r="A891" s="1">
        <f>HYPERLINK("https://cms.ls-nyc.org/matter/dynamic-profile/view/1882637","18-1882637")</f>
        <v>0</v>
      </c>
      <c r="B891" t="s">
        <v>14</v>
      </c>
      <c r="C891" t="s">
        <v>42</v>
      </c>
      <c r="D891" t="s">
        <v>768</v>
      </c>
      <c r="E891" t="s">
        <v>1799</v>
      </c>
      <c r="F891" t="s">
        <v>1853</v>
      </c>
      <c r="H891" t="s">
        <v>1863</v>
      </c>
      <c r="J891" t="s">
        <v>1867</v>
      </c>
    </row>
    <row r="892" spans="1:10">
      <c r="A892" s="1">
        <f>HYPERLINK("https://cms.ls-nyc.org/matter/dynamic-profile/view/1882705","18-1882705")</f>
        <v>0</v>
      </c>
      <c r="B892" t="s">
        <v>15</v>
      </c>
      <c r="C892" t="s">
        <v>35</v>
      </c>
      <c r="D892" t="s">
        <v>769</v>
      </c>
      <c r="F892" t="s">
        <v>1859</v>
      </c>
      <c r="H892" t="s">
        <v>1863</v>
      </c>
      <c r="J892" t="s">
        <v>1868</v>
      </c>
    </row>
    <row r="893" spans="1:10">
      <c r="A893" s="1">
        <f>HYPERLINK("https://cms.ls-nyc.org/matter/dynamic-profile/view/1882645","18-1882645")</f>
        <v>0</v>
      </c>
      <c r="B893" t="s">
        <v>10</v>
      </c>
      <c r="C893" t="s">
        <v>30</v>
      </c>
      <c r="D893" t="s">
        <v>770</v>
      </c>
      <c r="E893" t="s">
        <v>1815</v>
      </c>
      <c r="F893" t="s">
        <v>1858</v>
      </c>
      <c r="H893" t="s">
        <v>1863</v>
      </c>
      <c r="J893" t="s">
        <v>1868</v>
      </c>
    </row>
    <row r="894" spans="1:10">
      <c r="A894" s="1">
        <f>HYPERLINK("https://cms.ls-nyc.org/matter/dynamic-profile/view/1882729","18-1882729")</f>
        <v>0</v>
      </c>
      <c r="B894" t="s">
        <v>15</v>
      </c>
      <c r="C894" t="s">
        <v>35</v>
      </c>
      <c r="D894" t="s">
        <v>771</v>
      </c>
      <c r="F894" t="s">
        <v>1859</v>
      </c>
      <c r="H894" t="s">
        <v>1863</v>
      </c>
      <c r="J894" t="s">
        <v>1868</v>
      </c>
    </row>
    <row r="895" spans="1:10">
      <c r="A895" s="1">
        <f>HYPERLINK("https://cms.ls-nyc.org/matter/dynamic-profile/view/1882482","18-1882482")</f>
        <v>0</v>
      </c>
      <c r="B895" t="s">
        <v>11</v>
      </c>
      <c r="C895" t="s">
        <v>41</v>
      </c>
      <c r="D895" t="s">
        <v>772</v>
      </c>
      <c r="E895" t="s">
        <v>1815</v>
      </c>
      <c r="F895" t="s">
        <v>1853</v>
      </c>
      <c r="H895" t="s">
        <v>1863</v>
      </c>
      <c r="J895" t="s">
        <v>1867</v>
      </c>
    </row>
    <row r="896" spans="1:10">
      <c r="A896" s="1">
        <f>HYPERLINK("https://cms.ls-nyc.org/matter/dynamic-profile/view/1882594","18-1882594")</f>
        <v>0</v>
      </c>
      <c r="B896" t="s">
        <v>10</v>
      </c>
      <c r="C896" t="s">
        <v>17</v>
      </c>
      <c r="D896" t="s">
        <v>473</v>
      </c>
      <c r="E896" t="s">
        <v>1815</v>
      </c>
      <c r="F896" t="s">
        <v>1853</v>
      </c>
      <c r="H896" t="s">
        <v>1863</v>
      </c>
      <c r="J896" t="s">
        <v>1867</v>
      </c>
    </row>
    <row r="897" spans="1:10">
      <c r="A897" s="1">
        <f>HYPERLINK("https://cms.ls-nyc.org/matter/dynamic-profile/view/1882612","18-1882612")</f>
        <v>0</v>
      </c>
      <c r="B897" t="s">
        <v>14</v>
      </c>
      <c r="C897" t="s">
        <v>42</v>
      </c>
      <c r="D897" t="s">
        <v>773</v>
      </c>
      <c r="E897" t="s">
        <v>1835</v>
      </c>
      <c r="F897" t="s">
        <v>1853</v>
      </c>
      <c r="H897" t="s">
        <v>1863</v>
      </c>
      <c r="J897" t="s">
        <v>1867</v>
      </c>
    </row>
    <row r="898" spans="1:10">
      <c r="A898" s="1">
        <f>HYPERLINK("https://cms.ls-nyc.org/matter/dynamic-profile/view/1882613","18-1882613")</f>
        <v>0</v>
      </c>
      <c r="B898" t="s">
        <v>10</v>
      </c>
      <c r="C898" t="s">
        <v>16</v>
      </c>
      <c r="D898" t="s">
        <v>774</v>
      </c>
      <c r="E898" t="s">
        <v>1815</v>
      </c>
      <c r="F898" t="s">
        <v>1853</v>
      </c>
      <c r="H898" t="s">
        <v>1863</v>
      </c>
      <c r="J898" t="s">
        <v>1867</v>
      </c>
    </row>
    <row r="899" spans="1:10">
      <c r="A899" s="1">
        <f>HYPERLINK("https://cms.ls-nyc.org/matter/dynamic-profile/view/1882683","18-1882683")</f>
        <v>0</v>
      </c>
      <c r="B899" t="s">
        <v>10</v>
      </c>
      <c r="C899" t="s">
        <v>16</v>
      </c>
      <c r="D899" t="s">
        <v>775</v>
      </c>
      <c r="E899" t="s">
        <v>1807</v>
      </c>
      <c r="F899" t="s">
        <v>1853</v>
      </c>
      <c r="H899" t="s">
        <v>1863</v>
      </c>
      <c r="J899" t="s">
        <v>1869</v>
      </c>
    </row>
    <row r="900" spans="1:10">
      <c r="A900" s="1">
        <f>HYPERLINK("https://cms.ls-nyc.org/matter/dynamic-profile/view/1882691","18-1882691")</f>
        <v>0</v>
      </c>
      <c r="B900" t="s">
        <v>14</v>
      </c>
      <c r="C900" t="s">
        <v>42</v>
      </c>
      <c r="D900" t="s">
        <v>773</v>
      </c>
      <c r="E900" t="s">
        <v>1804</v>
      </c>
      <c r="F900" t="s">
        <v>1853</v>
      </c>
      <c r="H900" t="s">
        <v>1863</v>
      </c>
      <c r="J900" t="s">
        <v>1867</v>
      </c>
    </row>
    <row r="901" spans="1:10">
      <c r="A901" s="1">
        <f>HYPERLINK("https://cms.ls-nyc.org/matter/dynamic-profile/view/1882749","18-1882749")</f>
        <v>0</v>
      </c>
      <c r="B901" t="s">
        <v>11</v>
      </c>
      <c r="C901" t="s">
        <v>41</v>
      </c>
      <c r="D901" t="s">
        <v>776</v>
      </c>
      <c r="E901" t="s">
        <v>1815</v>
      </c>
      <c r="F901" t="s">
        <v>1853</v>
      </c>
      <c r="H901" t="s">
        <v>1863</v>
      </c>
      <c r="J901" t="s">
        <v>1867</v>
      </c>
    </row>
    <row r="902" spans="1:10">
      <c r="A902" s="1">
        <f>HYPERLINK("https://cms.ls-nyc.org/matter/dynamic-profile/view/1882537","18-1882537")</f>
        <v>0</v>
      </c>
      <c r="B902" t="s">
        <v>14</v>
      </c>
      <c r="C902" t="s">
        <v>25</v>
      </c>
      <c r="D902" t="s">
        <v>777</v>
      </c>
      <c r="E902" t="s">
        <v>1800</v>
      </c>
      <c r="F902" t="s">
        <v>1858</v>
      </c>
      <c r="G902" t="s">
        <v>1861</v>
      </c>
      <c r="H902" t="s">
        <v>1864</v>
      </c>
      <c r="J902" t="s">
        <v>1868</v>
      </c>
    </row>
    <row r="903" spans="1:10">
      <c r="A903" s="1">
        <f>HYPERLINK("https://cms.ls-nyc.org/matter/dynamic-profile/view/1882454","18-1882454")</f>
        <v>0</v>
      </c>
      <c r="B903" t="s">
        <v>15</v>
      </c>
      <c r="C903" t="s">
        <v>34</v>
      </c>
      <c r="D903" t="s">
        <v>674</v>
      </c>
      <c r="E903" t="s">
        <v>1810</v>
      </c>
      <c r="F903" t="s">
        <v>1853</v>
      </c>
      <c r="H903" t="s">
        <v>1863</v>
      </c>
      <c r="J903" t="s">
        <v>1869</v>
      </c>
    </row>
    <row r="904" spans="1:10">
      <c r="A904" s="1">
        <f>HYPERLINK("https://cms.ls-nyc.org/matter/dynamic-profile/view/1882460","18-1882460")</f>
        <v>0</v>
      </c>
      <c r="B904" t="s">
        <v>10</v>
      </c>
      <c r="C904" t="s">
        <v>16</v>
      </c>
      <c r="D904" t="s">
        <v>778</v>
      </c>
      <c r="E904" t="s">
        <v>1815</v>
      </c>
      <c r="F904" t="s">
        <v>1853</v>
      </c>
      <c r="H904" t="s">
        <v>1863</v>
      </c>
      <c r="J904" t="s">
        <v>1867</v>
      </c>
    </row>
    <row r="905" spans="1:10">
      <c r="A905" s="1">
        <f>HYPERLINK("https://cms.ls-nyc.org/matter/dynamic-profile/view/1882467","18-1882467")</f>
        <v>0</v>
      </c>
      <c r="B905" t="s">
        <v>13</v>
      </c>
      <c r="C905" t="s">
        <v>29</v>
      </c>
      <c r="D905" t="s">
        <v>779</v>
      </c>
      <c r="E905" t="s">
        <v>1809</v>
      </c>
      <c r="F905" t="s">
        <v>1855</v>
      </c>
      <c r="H905" t="s">
        <v>1863</v>
      </c>
      <c r="J905" t="s">
        <v>1870</v>
      </c>
    </row>
    <row r="906" spans="1:10">
      <c r="A906" s="1">
        <f>HYPERLINK("https://cms.ls-nyc.org/matter/dynamic-profile/view/1882472","18-1882472")</f>
        <v>0</v>
      </c>
      <c r="B906" t="s">
        <v>10</v>
      </c>
      <c r="C906" t="s">
        <v>16</v>
      </c>
      <c r="D906" t="s">
        <v>780</v>
      </c>
      <c r="E906" t="s">
        <v>1809</v>
      </c>
      <c r="F906" t="s">
        <v>1855</v>
      </c>
      <c r="H906" t="s">
        <v>1863</v>
      </c>
      <c r="J906" t="s">
        <v>1871</v>
      </c>
    </row>
    <row r="907" spans="1:10">
      <c r="A907" s="1">
        <f>HYPERLINK("https://cms.ls-nyc.org/matter/dynamic-profile/view/1882479","18-1882479")</f>
        <v>0</v>
      </c>
      <c r="B907" t="s">
        <v>10</v>
      </c>
      <c r="C907" t="s">
        <v>16</v>
      </c>
      <c r="D907" t="s">
        <v>781</v>
      </c>
      <c r="E907" t="s">
        <v>1809</v>
      </c>
      <c r="F907" t="s">
        <v>1855</v>
      </c>
      <c r="H907" t="s">
        <v>1863</v>
      </c>
      <c r="J907" t="s">
        <v>1870</v>
      </c>
    </row>
    <row r="908" spans="1:10">
      <c r="A908" s="1">
        <f>HYPERLINK("https://cms.ls-nyc.org/matter/dynamic-profile/view/1882539","18-1882539")</f>
        <v>0</v>
      </c>
      <c r="B908" t="s">
        <v>10</v>
      </c>
      <c r="C908" t="s">
        <v>44</v>
      </c>
      <c r="D908" t="s">
        <v>782</v>
      </c>
      <c r="E908" t="s">
        <v>1815</v>
      </c>
      <c r="F908" t="s">
        <v>1856</v>
      </c>
      <c r="H908" t="s">
        <v>1863</v>
      </c>
      <c r="J908" t="s">
        <v>1866</v>
      </c>
    </row>
    <row r="909" spans="1:10">
      <c r="A909" s="1">
        <f>HYPERLINK("https://cms.ls-nyc.org/matter/dynamic-profile/view/1882339","18-1882339")</f>
        <v>0</v>
      </c>
      <c r="B909" t="s">
        <v>12</v>
      </c>
      <c r="C909" t="s">
        <v>49</v>
      </c>
      <c r="D909" t="s">
        <v>783</v>
      </c>
      <c r="G909" t="s">
        <v>1861</v>
      </c>
      <c r="J909" t="s">
        <v>1868</v>
      </c>
    </row>
    <row r="910" spans="1:10">
      <c r="A910" s="1">
        <f>HYPERLINK("https://cms.ls-nyc.org/matter/dynamic-profile/view/1882335","18-1882335")</f>
        <v>0</v>
      </c>
      <c r="B910" t="s">
        <v>13</v>
      </c>
      <c r="C910" t="s">
        <v>43</v>
      </c>
      <c r="D910" t="s">
        <v>784</v>
      </c>
      <c r="F910" t="s">
        <v>1859</v>
      </c>
      <c r="H910" t="s">
        <v>1863</v>
      </c>
      <c r="J910" t="s">
        <v>1868</v>
      </c>
    </row>
    <row r="911" spans="1:10">
      <c r="A911" s="1">
        <f>HYPERLINK("https://cms.ls-nyc.org/matter/dynamic-profile/view/1882341","18-1882341")</f>
        <v>0</v>
      </c>
      <c r="B911" t="s">
        <v>13</v>
      </c>
      <c r="C911" t="s">
        <v>43</v>
      </c>
      <c r="D911" t="s">
        <v>785</v>
      </c>
      <c r="F911" t="s">
        <v>1859</v>
      </c>
      <c r="H911" t="s">
        <v>1863</v>
      </c>
      <c r="J911" t="s">
        <v>1868</v>
      </c>
    </row>
    <row r="912" spans="1:10">
      <c r="A912" s="1">
        <f>HYPERLINK("https://cms.ls-nyc.org/matter/dynamic-profile/view/1882371","18-1882371")</f>
        <v>0</v>
      </c>
      <c r="B912" t="s">
        <v>11</v>
      </c>
      <c r="C912" t="s">
        <v>52</v>
      </c>
      <c r="D912" t="s">
        <v>786</v>
      </c>
      <c r="F912" t="s">
        <v>1856</v>
      </c>
      <c r="H912" t="s">
        <v>1863</v>
      </c>
      <c r="J912" t="s">
        <v>1866</v>
      </c>
    </row>
    <row r="913" spans="1:10">
      <c r="A913" s="1">
        <f>HYPERLINK("https://cms.ls-nyc.org/matter/dynamic-profile/view/1882274","18-1882274")</f>
        <v>0</v>
      </c>
      <c r="B913" t="s">
        <v>15</v>
      </c>
      <c r="C913" t="s">
        <v>35</v>
      </c>
      <c r="D913" t="s">
        <v>787</v>
      </c>
      <c r="F913" t="s">
        <v>1858</v>
      </c>
      <c r="H913" t="s">
        <v>1863</v>
      </c>
      <c r="J913" t="s">
        <v>1868</v>
      </c>
    </row>
    <row r="914" spans="1:10">
      <c r="A914" s="1">
        <f>HYPERLINK("https://cms.ls-nyc.org/matter/dynamic-profile/view/1882313","18-1882313")</f>
        <v>0</v>
      </c>
      <c r="B914" t="s">
        <v>15</v>
      </c>
      <c r="C914" t="s">
        <v>27</v>
      </c>
      <c r="D914" t="s">
        <v>105</v>
      </c>
      <c r="F914" t="s">
        <v>1857</v>
      </c>
      <c r="G914" t="s">
        <v>1861</v>
      </c>
      <c r="J914" t="s">
        <v>1869</v>
      </c>
    </row>
    <row r="915" spans="1:10">
      <c r="A915" s="1">
        <f>HYPERLINK("https://cms.ls-nyc.org/matter/dynamic-profile/view/1882268","18-1882268")</f>
        <v>0</v>
      </c>
      <c r="B915" t="s">
        <v>15</v>
      </c>
      <c r="C915" t="s">
        <v>34</v>
      </c>
      <c r="D915" t="s">
        <v>788</v>
      </c>
      <c r="E915" t="s">
        <v>1816</v>
      </c>
      <c r="F915" t="s">
        <v>1859</v>
      </c>
      <c r="G915" t="s">
        <v>1861</v>
      </c>
      <c r="J915" t="s">
        <v>1868</v>
      </c>
    </row>
    <row r="916" spans="1:10">
      <c r="A916" s="1">
        <f>HYPERLINK("https://cms.ls-nyc.org/matter/dynamic-profile/view/1882305","18-1882305")</f>
        <v>0</v>
      </c>
      <c r="B916" t="s">
        <v>13</v>
      </c>
      <c r="C916" t="s">
        <v>29</v>
      </c>
      <c r="D916" t="s">
        <v>789</v>
      </c>
      <c r="E916" t="s">
        <v>1809</v>
      </c>
      <c r="F916" t="s">
        <v>1855</v>
      </c>
      <c r="H916" t="s">
        <v>1863</v>
      </c>
      <c r="J916" t="s">
        <v>1870</v>
      </c>
    </row>
    <row r="917" spans="1:10">
      <c r="A917" s="1">
        <f>HYPERLINK("https://cms.ls-nyc.org/matter/dynamic-profile/view/1882147","18-1882147")</f>
        <v>0</v>
      </c>
      <c r="B917" t="s">
        <v>14</v>
      </c>
      <c r="C917" t="s">
        <v>25</v>
      </c>
      <c r="D917" t="s">
        <v>790</v>
      </c>
      <c r="E917" t="s">
        <v>1819</v>
      </c>
      <c r="F917" t="s">
        <v>1858</v>
      </c>
      <c r="G917" t="s">
        <v>1861</v>
      </c>
      <c r="H917" t="s">
        <v>1864</v>
      </c>
      <c r="J917" t="s">
        <v>1868</v>
      </c>
    </row>
    <row r="918" spans="1:10">
      <c r="A918" s="1">
        <f>HYPERLINK("https://cms.ls-nyc.org/matter/dynamic-profile/view/1882170","18-1882170")</f>
        <v>0</v>
      </c>
      <c r="B918" t="s">
        <v>14</v>
      </c>
      <c r="C918" t="s">
        <v>25</v>
      </c>
      <c r="D918" t="s">
        <v>791</v>
      </c>
      <c r="E918" t="s">
        <v>1816</v>
      </c>
      <c r="F918" t="s">
        <v>1858</v>
      </c>
      <c r="G918" t="s">
        <v>1861</v>
      </c>
      <c r="H918" t="s">
        <v>1864</v>
      </c>
      <c r="J918" t="s">
        <v>1868</v>
      </c>
    </row>
    <row r="919" spans="1:10">
      <c r="A919" s="1">
        <f>HYPERLINK("https://cms.ls-nyc.org/matter/dynamic-profile/view/1882173","18-1882173")</f>
        <v>0</v>
      </c>
      <c r="B919" t="s">
        <v>14</v>
      </c>
      <c r="C919" t="s">
        <v>25</v>
      </c>
      <c r="D919" t="s">
        <v>792</v>
      </c>
      <c r="E919" t="s">
        <v>1816</v>
      </c>
      <c r="F919" t="s">
        <v>1858</v>
      </c>
      <c r="G919" t="s">
        <v>1861</v>
      </c>
      <c r="H919" t="s">
        <v>1864</v>
      </c>
      <c r="J919" t="s">
        <v>1868</v>
      </c>
    </row>
    <row r="920" spans="1:10">
      <c r="A920" s="1">
        <f>HYPERLINK("https://cms.ls-nyc.org/matter/dynamic-profile/view/1882114","18-1882114")</f>
        <v>0</v>
      </c>
      <c r="B920" t="s">
        <v>10</v>
      </c>
      <c r="C920" t="s">
        <v>17</v>
      </c>
      <c r="D920" t="s">
        <v>179</v>
      </c>
      <c r="E920" t="s">
        <v>1815</v>
      </c>
      <c r="F920" t="s">
        <v>1853</v>
      </c>
      <c r="H920" t="s">
        <v>1863</v>
      </c>
      <c r="J920" t="s">
        <v>1867</v>
      </c>
    </row>
    <row r="921" spans="1:10">
      <c r="A921" s="1">
        <f>HYPERLINK("https://cms.ls-nyc.org/matter/dynamic-profile/view/1882150","18-1882150")</f>
        <v>0</v>
      </c>
      <c r="B921" t="s">
        <v>14</v>
      </c>
      <c r="C921" t="s">
        <v>28</v>
      </c>
      <c r="D921" t="s">
        <v>793</v>
      </c>
      <c r="E921" t="s">
        <v>1821</v>
      </c>
      <c r="F921" t="s">
        <v>1853</v>
      </c>
      <c r="H921" t="s">
        <v>1863</v>
      </c>
      <c r="J921" t="s">
        <v>1867</v>
      </c>
    </row>
    <row r="922" spans="1:10">
      <c r="A922" s="1">
        <f>HYPERLINK("https://cms.ls-nyc.org/matter/dynamic-profile/view/1882167","18-1882167")</f>
        <v>0</v>
      </c>
      <c r="B922" t="s">
        <v>14</v>
      </c>
      <c r="C922" t="s">
        <v>28</v>
      </c>
      <c r="D922" t="s">
        <v>794</v>
      </c>
      <c r="E922" t="s">
        <v>1821</v>
      </c>
      <c r="F922" t="s">
        <v>1853</v>
      </c>
      <c r="H922" t="s">
        <v>1863</v>
      </c>
      <c r="J922" t="s">
        <v>1867</v>
      </c>
    </row>
    <row r="923" spans="1:10">
      <c r="A923" s="1">
        <f>HYPERLINK("https://cms.ls-nyc.org/matter/dynamic-profile/view/1882168","18-1882168")</f>
        <v>0</v>
      </c>
      <c r="B923" t="s">
        <v>14</v>
      </c>
      <c r="C923" t="s">
        <v>28</v>
      </c>
      <c r="D923" t="s">
        <v>795</v>
      </c>
      <c r="E923" t="s">
        <v>1821</v>
      </c>
      <c r="F923" t="s">
        <v>1853</v>
      </c>
      <c r="H923" t="s">
        <v>1863</v>
      </c>
      <c r="J923" t="s">
        <v>1867</v>
      </c>
    </row>
    <row r="924" spans="1:10">
      <c r="A924" s="1">
        <f>HYPERLINK("https://cms.ls-nyc.org/matter/dynamic-profile/view/1881998","18-1881998")</f>
        <v>0</v>
      </c>
      <c r="B924" t="s">
        <v>12</v>
      </c>
      <c r="C924" t="s">
        <v>40</v>
      </c>
      <c r="D924" t="s">
        <v>796</v>
      </c>
      <c r="E924" t="s">
        <v>1815</v>
      </c>
      <c r="F924" t="s">
        <v>1853</v>
      </c>
      <c r="H924" t="s">
        <v>1863</v>
      </c>
      <c r="J924" t="s">
        <v>1867</v>
      </c>
    </row>
    <row r="925" spans="1:10">
      <c r="A925" s="1">
        <f>HYPERLINK("https://cms.ls-nyc.org/matter/dynamic-profile/view/1882040","18-1882040")</f>
        <v>0</v>
      </c>
      <c r="B925" t="s">
        <v>10</v>
      </c>
      <c r="C925" t="s">
        <v>16</v>
      </c>
      <c r="D925" t="s">
        <v>797</v>
      </c>
      <c r="E925" t="s">
        <v>1810</v>
      </c>
      <c r="F925" t="s">
        <v>1853</v>
      </c>
      <c r="H925" t="s">
        <v>1863</v>
      </c>
      <c r="J925" t="s">
        <v>1869</v>
      </c>
    </row>
    <row r="926" spans="1:10">
      <c r="A926" s="1">
        <f>HYPERLINK("https://cms.ls-nyc.org/matter/dynamic-profile/view/1882046","18-1882046")</f>
        <v>0</v>
      </c>
      <c r="B926" t="s">
        <v>10</v>
      </c>
      <c r="C926" t="s">
        <v>28</v>
      </c>
      <c r="D926" t="s">
        <v>798</v>
      </c>
      <c r="E926" t="s">
        <v>1816</v>
      </c>
      <c r="F926" t="s">
        <v>1853</v>
      </c>
      <c r="H926" t="s">
        <v>1863</v>
      </c>
      <c r="J926" t="s">
        <v>1867</v>
      </c>
    </row>
    <row r="927" spans="1:10">
      <c r="A927" s="1">
        <f>HYPERLINK("https://cms.ls-nyc.org/matter/dynamic-profile/view/1882049","18-1882049")</f>
        <v>0</v>
      </c>
      <c r="B927" t="s">
        <v>10</v>
      </c>
      <c r="C927" t="s">
        <v>28</v>
      </c>
      <c r="D927" t="s">
        <v>798</v>
      </c>
      <c r="E927" t="s">
        <v>1804</v>
      </c>
      <c r="F927" t="s">
        <v>1853</v>
      </c>
      <c r="H927" t="s">
        <v>1863</v>
      </c>
      <c r="J927" t="s">
        <v>1867</v>
      </c>
    </row>
    <row r="928" spans="1:10">
      <c r="A928" s="1">
        <f>HYPERLINK("https://cms.ls-nyc.org/matter/dynamic-profile/view/1882050","18-1882050")</f>
        <v>0</v>
      </c>
      <c r="B928" t="s">
        <v>10</v>
      </c>
      <c r="C928" t="s">
        <v>28</v>
      </c>
      <c r="D928" t="s">
        <v>798</v>
      </c>
      <c r="E928" t="s">
        <v>1838</v>
      </c>
      <c r="F928" t="s">
        <v>1853</v>
      </c>
      <c r="H928" t="s">
        <v>1863</v>
      </c>
      <c r="J928" t="s">
        <v>1867</v>
      </c>
    </row>
    <row r="929" spans="1:10">
      <c r="A929" s="1">
        <f>HYPERLINK("https://cms.ls-nyc.org/matter/dynamic-profile/view/1881857","18-1881857")</f>
        <v>0</v>
      </c>
      <c r="B929" t="s">
        <v>10</v>
      </c>
      <c r="C929" t="s">
        <v>30</v>
      </c>
      <c r="D929" t="s">
        <v>799</v>
      </c>
      <c r="E929" t="s">
        <v>1815</v>
      </c>
      <c r="F929" t="s">
        <v>1858</v>
      </c>
      <c r="H929" t="s">
        <v>1863</v>
      </c>
      <c r="J929" t="s">
        <v>1868</v>
      </c>
    </row>
    <row r="930" spans="1:10">
      <c r="A930" s="1">
        <f>HYPERLINK("https://cms.ls-nyc.org/matter/dynamic-profile/view/1881865","18-1881865")</f>
        <v>0</v>
      </c>
      <c r="B930" t="s">
        <v>10</v>
      </c>
      <c r="C930" t="s">
        <v>30</v>
      </c>
      <c r="D930" t="s">
        <v>800</v>
      </c>
      <c r="E930" t="s">
        <v>1810</v>
      </c>
      <c r="F930" t="s">
        <v>1858</v>
      </c>
      <c r="H930" t="s">
        <v>1863</v>
      </c>
      <c r="J930" t="s">
        <v>1868</v>
      </c>
    </row>
    <row r="931" spans="1:10">
      <c r="A931" s="1">
        <f>HYPERLINK("https://cms.ls-nyc.org/matter/dynamic-profile/view/1881867","18-1881867")</f>
        <v>0</v>
      </c>
      <c r="B931" t="s">
        <v>10</v>
      </c>
      <c r="C931" t="s">
        <v>30</v>
      </c>
      <c r="D931" t="s">
        <v>801</v>
      </c>
      <c r="E931" t="s">
        <v>1815</v>
      </c>
      <c r="F931" t="s">
        <v>1858</v>
      </c>
      <c r="H931" t="s">
        <v>1863</v>
      </c>
      <c r="J931" t="s">
        <v>1868</v>
      </c>
    </row>
    <row r="932" spans="1:10">
      <c r="A932" s="1">
        <f>HYPERLINK("https://cms.ls-nyc.org/matter/dynamic-profile/view/1881837","18-1881837")</f>
        <v>0</v>
      </c>
      <c r="B932" t="s">
        <v>12</v>
      </c>
      <c r="C932" t="s">
        <v>21</v>
      </c>
      <c r="D932" t="s">
        <v>802</v>
      </c>
      <c r="E932" t="s">
        <v>1804</v>
      </c>
      <c r="F932" t="s">
        <v>1853</v>
      </c>
      <c r="H932" t="s">
        <v>1863</v>
      </c>
      <c r="J932" t="s">
        <v>1867</v>
      </c>
    </row>
    <row r="933" spans="1:10">
      <c r="A933" s="1">
        <f>HYPERLINK("https://cms.ls-nyc.org/matter/dynamic-profile/view/1881709","18-1881709")</f>
        <v>0</v>
      </c>
      <c r="B933" t="s">
        <v>10</v>
      </c>
      <c r="C933" t="s">
        <v>16</v>
      </c>
      <c r="D933" t="s">
        <v>731</v>
      </c>
      <c r="E933" t="s">
        <v>1810</v>
      </c>
      <c r="F933" t="s">
        <v>1853</v>
      </c>
      <c r="H933" t="s">
        <v>1863</v>
      </c>
      <c r="J933" t="s">
        <v>1869</v>
      </c>
    </row>
    <row r="934" spans="1:10">
      <c r="A934" s="1">
        <f>HYPERLINK("https://cms.ls-nyc.org/matter/dynamic-profile/view/1881742","18-1881742")</f>
        <v>0</v>
      </c>
      <c r="B934" t="s">
        <v>10</v>
      </c>
      <c r="C934" t="s">
        <v>16</v>
      </c>
      <c r="D934" t="s">
        <v>194</v>
      </c>
      <c r="E934" t="s">
        <v>1810</v>
      </c>
      <c r="F934" t="s">
        <v>1853</v>
      </c>
      <c r="H934" t="s">
        <v>1863</v>
      </c>
      <c r="J934" t="s">
        <v>1869</v>
      </c>
    </row>
    <row r="935" spans="1:10">
      <c r="A935" s="1">
        <f>HYPERLINK("https://cms.ls-nyc.org/matter/dynamic-profile/view/1881792","18-1881792")</f>
        <v>0</v>
      </c>
      <c r="B935" t="s">
        <v>10</v>
      </c>
      <c r="C935" t="s">
        <v>17</v>
      </c>
      <c r="D935" t="s">
        <v>178</v>
      </c>
      <c r="E935" t="s">
        <v>1825</v>
      </c>
      <c r="F935" t="s">
        <v>1853</v>
      </c>
      <c r="H935" t="s">
        <v>1863</v>
      </c>
      <c r="J935" t="s">
        <v>1867</v>
      </c>
    </row>
    <row r="936" spans="1:10">
      <c r="A936" s="1">
        <f>HYPERLINK("https://cms.ls-nyc.org/matter/dynamic-profile/view/1881826","18-1881826")</f>
        <v>0</v>
      </c>
      <c r="B936" t="s">
        <v>12</v>
      </c>
      <c r="C936" t="s">
        <v>33</v>
      </c>
      <c r="D936" t="s">
        <v>669</v>
      </c>
      <c r="E936" t="s">
        <v>1803</v>
      </c>
      <c r="F936" t="s">
        <v>1855</v>
      </c>
      <c r="H936" t="s">
        <v>1863</v>
      </c>
      <c r="J936" t="s">
        <v>1870</v>
      </c>
    </row>
    <row r="937" spans="1:10">
      <c r="A937" s="1">
        <f>HYPERLINK("https://cms.ls-nyc.org/matter/dynamic-profile/view/1881828","18-1881828")</f>
        <v>0</v>
      </c>
      <c r="B937" t="s">
        <v>12</v>
      </c>
      <c r="C937" t="s">
        <v>33</v>
      </c>
      <c r="D937" t="s">
        <v>670</v>
      </c>
      <c r="E937" t="s">
        <v>1803</v>
      </c>
      <c r="F937" t="s">
        <v>1855</v>
      </c>
      <c r="H937" t="s">
        <v>1863</v>
      </c>
      <c r="J937" t="s">
        <v>1870</v>
      </c>
    </row>
    <row r="938" spans="1:10">
      <c r="A938" s="1">
        <f>HYPERLINK("https://cms.ls-nyc.org/matter/dynamic-profile/view/1881833","18-1881833")</f>
        <v>0</v>
      </c>
      <c r="B938" t="s">
        <v>13</v>
      </c>
      <c r="C938" t="s">
        <v>43</v>
      </c>
      <c r="D938" t="s">
        <v>659</v>
      </c>
      <c r="E938" t="s">
        <v>1809</v>
      </c>
      <c r="F938" t="s">
        <v>1855</v>
      </c>
      <c r="H938" t="s">
        <v>1863</v>
      </c>
      <c r="J938" t="s">
        <v>1870</v>
      </c>
    </row>
    <row r="939" spans="1:10">
      <c r="A939" s="1">
        <f>HYPERLINK("https://cms.ls-nyc.org/matter/dynamic-profile/view/1881999","18-1881999")</f>
        <v>0</v>
      </c>
      <c r="B939" t="s">
        <v>13</v>
      </c>
      <c r="C939" t="s">
        <v>29</v>
      </c>
      <c r="D939" t="s">
        <v>304</v>
      </c>
      <c r="E939" t="s">
        <v>1809</v>
      </c>
      <c r="F939" t="s">
        <v>1855</v>
      </c>
      <c r="H939" t="s">
        <v>1863</v>
      </c>
      <c r="J939" t="s">
        <v>1870</v>
      </c>
    </row>
    <row r="940" spans="1:10">
      <c r="A940" s="1">
        <f>HYPERLINK("https://cms.ls-nyc.org/matter/dynamic-profile/view/1882058","18-1882058")</f>
        <v>0</v>
      </c>
      <c r="B940" t="s">
        <v>13</v>
      </c>
      <c r="C940" t="s">
        <v>29</v>
      </c>
      <c r="D940" t="s">
        <v>304</v>
      </c>
      <c r="F940" t="s">
        <v>1857</v>
      </c>
      <c r="H940" t="s">
        <v>1863</v>
      </c>
      <c r="J940" t="s">
        <v>1869</v>
      </c>
    </row>
    <row r="941" spans="1:10">
      <c r="A941" s="1">
        <f>HYPERLINK("https://cms.ls-nyc.org/matter/dynamic-profile/view/1882069","18-1882069")</f>
        <v>0</v>
      </c>
      <c r="B941" t="s">
        <v>13</v>
      </c>
      <c r="C941" t="s">
        <v>24</v>
      </c>
      <c r="D941" t="s">
        <v>803</v>
      </c>
      <c r="E941" t="s">
        <v>1804</v>
      </c>
      <c r="F941" t="s">
        <v>1853</v>
      </c>
      <c r="H941" t="s">
        <v>1863</v>
      </c>
      <c r="J941" t="s">
        <v>1867</v>
      </c>
    </row>
    <row r="942" spans="1:10">
      <c r="A942" s="1">
        <f>HYPERLINK("https://cms.ls-nyc.org/matter/dynamic-profile/view/1882084","18-1882084")</f>
        <v>0</v>
      </c>
      <c r="B942" t="s">
        <v>13</v>
      </c>
      <c r="C942" t="s">
        <v>43</v>
      </c>
      <c r="D942" t="s">
        <v>804</v>
      </c>
      <c r="E942" t="s">
        <v>1809</v>
      </c>
      <c r="F942" t="s">
        <v>1855</v>
      </c>
      <c r="H942" t="s">
        <v>1863</v>
      </c>
      <c r="J942" t="s">
        <v>1870</v>
      </c>
    </row>
    <row r="943" spans="1:10">
      <c r="A943" s="1">
        <f>HYPERLINK("https://cms.ls-nyc.org/matter/dynamic-profile/view/1882087","18-1882087")</f>
        <v>0</v>
      </c>
      <c r="B943" t="s">
        <v>13</v>
      </c>
      <c r="C943" t="s">
        <v>43</v>
      </c>
      <c r="D943" t="s">
        <v>804</v>
      </c>
      <c r="F943" t="s">
        <v>1857</v>
      </c>
      <c r="H943" t="s">
        <v>1863</v>
      </c>
      <c r="J943" t="s">
        <v>1869</v>
      </c>
    </row>
    <row r="944" spans="1:10">
      <c r="A944" s="1">
        <f>HYPERLINK("https://cms.ls-nyc.org/matter/dynamic-profile/view/1882101","18-1882101")</f>
        <v>0</v>
      </c>
      <c r="B944" t="s">
        <v>13</v>
      </c>
      <c r="C944" t="s">
        <v>24</v>
      </c>
      <c r="D944" t="s">
        <v>805</v>
      </c>
      <c r="E944" t="s">
        <v>1803</v>
      </c>
      <c r="F944" t="s">
        <v>1855</v>
      </c>
      <c r="H944" t="s">
        <v>1863</v>
      </c>
      <c r="J944" t="s">
        <v>1870</v>
      </c>
    </row>
    <row r="945" spans="1:10">
      <c r="A945" s="1">
        <f>HYPERLINK("https://cms.ls-nyc.org/matter/dynamic-profile/view/1882103","18-1882103")</f>
        <v>0</v>
      </c>
      <c r="B945" t="s">
        <v>13</v>
      </c>
      <c r="C945" t="s">
        <v>24</v>
      </c>
      <c r="D945" t="s">
        <v>806</v>
      </c>
      <c r="F945" t="s">
        <v>1857</v>
      </c>
      <c r="H945" t="s">
        <v>1863</v>
      </c>
      <c r="J945" t="s">
        <v>1869</v>
      </c>
    </row>
    <row r="946" spans="1:10">
      <c r="A946" s="1">
        <f>HYPERLINK("https://cms.ls-nyc.org/matter/dynamic-profile/view/1882109","18-1882109")</f>
        <v>0</v>
      </c>
      <c r="B946" t="s">
        <v>13</v>
      </c>
      <c r="C946" t="s">
        <v>24</v>
      </c>
      <c r="D946" t="s">
        <v>807</v>
      </c>
      <c r="E946" t="s">
        <v>1809</v>
      </c>
      <c r="F946" t="s">
        <v>1855</v>
      </c>
      <c r="H946" t="s">
        <v>1863</v>
      </c>
      <c r="J946" t="s">
        <v>1870</v>
      </c>
    </row>
    <row r="947" spans="1:10">
      <c r="A947" s="1">
        <f>HYPERLINK("https://cms.ls-nyc.org/matter/dynamic-profile/view/1882112","18-1882112")</f>
        <v>0</v>
      </c>
      <c r="B947" t="s">
        <v>13</v>
      </c>
      <c r="C947" t="s">
        <v>24</v>
      </c>
      <c r="D947" t="s">
        <v>808</v>
      </c>
      <c r="E947" t="s">
        <v>1809</v>
      </c>
      <c r="F947" t="s">
        <v>1855</v>
      </c>
      <c r="H947" t="s">
        <v>1863</v>
      </c>
      <c r="J947" t="s">
        <v>1870</v>
      </c>
    </row>
    <row r="948" spans="1:10">
      <c r="A948" s="1">
        <f>HYPERLINK("https://cms.ls-nyc.org/matter/dynamic-profile/view/1882124","18-1882124")</f>
        <v>0</v>
      </c>
      <c r="B948" t="s">
        <v>13</v>
      </c>
      <c r="C948" t="s">
        <v>22</v>
      </c>
      <c r="D948" t="s">
        <v>714</v>
      </c>
      <c r="E948" t="s">
        <v>1803</v>
      </c>
      <c r="F948" t="s">
        <v>1855</v>
      </c>
      <c r="H948" t="s">
        <v>1863</v>
      </c>
      <c r="J948" t="s">
        <v>1870</v>
      </c>
    </row>
    <row r="949" spans="1:10">
      <c r="A949" s="1">
        <f>HYPERLINK("https://cms.ls-nyc.org/matter/dynamic-profile/view/1881639","18-1881639")</f>
        <v>0</v>
      </c>
      <c r="B949" t="s">
        <v>10</v>
      </c>
      <c r="C949" t="s">
        <v>44</v>
      </c>
      <c r="D949" t="s">
        <v>809</v>
      </c>
      <c r="E949" t="s">
        <v>1815</v>
      </c>
      <c r="F949" t="s">
        <v>1858</v>
      </c>
      <c r="H949" t="s">
        <v>1863</v>
      </c>
      <c r="J949" t="s">
        <v>1868</v>
      </c>
    </row>
    <row r="950" spans="1:10">
      <c r="A950" s="1">
        <f>HYPERLINK("https://cms.ls-nyc.org/matter/dynamic-profile/view/1881535","18-1881535")</f>
        <v>0</v>
      </c>
      <c r="B950" t="s">
        <v>12</v>
      </c>
      <c r="C950" t="s">
        <v>40</v>
      </c>
      <c r="D950" t="s">
        <v>810</v>
      </c>
      <c r="G950" t="s">
        <v>1861</v>
      </c>
      <c r="J950" t="s">
        <v>1868</v>
      </c>
    </row>
    <row r="951" spans="1:10">
      <c r="A951" s="1">
        <f>HYPERLINK("https://cms.ls-nyc.org/matter/dynamic-profile/view/1881521","18-1881521")</f>
        <v>0</v>
      </c>
      <c r="B951" t="s">
        <v>14</v>
      </c>
      <c r="C951" t="s">
        <v>25</v>
      </c>
      <c r="D951" t="s">
        <v>811</v>
      </c>
      <c r="E951" t="s">
        <v>1800</v>
      </c>
      <c r="F951" t="s">
        <v>1858</v>
      </c>
      <c r="G951" t="s">
        <v>1861</v>
      </c>
      <c r="J951" t="s">
        <v>1868</v>
      </c>
    </row>
    <row r="952" spans="1:10">
      <c r="A952" s="1">
        <f>HYPERLINK("https://cms.ls-nyc.org/matter/dynamic-profile/view/1881560","18-1881560")</f>
        <v>0</v>
      </c>
      <c r="B952" t="s">
        <v>14</v>
      </c>
      <c r="C952" t="s">
        <v>25</v>
      </c>
      <c r="D952" t="s">
        <v>812</v>
      </c>
      <c r="E952" t="s">
        <v>1815</v>
      </c>
      <c r="F952" t="s">
        <v>1858</v>
      </c>
      <c r="H952" t="s">
        <v>1863</v>
      </c>
      <c r="J952" t="s">
        <v>1868</v>
      </c>
    </row>
    <row r="953" spans="1:10">
      <c r="A953" s="1">
        <f>HYPERLINK("https://cms.ls-nyc.org/matter/dynamic-profile/view/1881525","18-1881525")</f>
        <v>0</v>
      </c>
      <c r="B953" t="s">
        <v>10</v>
      </c>
      <c r="C953" t="s">
        <v>44</v>
      </c>
      <c r="D953" t="s">
        <v>813</v>
      </c>
      <c r="E953" t="s">
        <v>1815</v>
      </c>
      <c r="F953" t="s">
        <v>1856</v>
      </c>
      <c r="H953" t="s">
        <v>1863</v>
      </c>
      <c r="J953" t="s">
        <v>1866</v>
      </c>
    </row>
    <row r="954" spans="1:10">
      <c r="A954" s="1">
        <f>HYPERLINK("https://cms.ls-nyc.org/matter/dynamic-profile/view/1881527","18-1881527")</f>
        <v>0</v>
      </c>
      <c r="B954" t="s">
        <v>15</v>
      </c>
      <c r="C954" t="s">
        <v>34</v>
      </c>
      <c r="D954" t="s">
        <v>814</v>
      </c>
      <c r="E954" t="s">
        <v>1802</v>
      </c>
      <c r="F954" t="s">
        <v>1853</v>
      </c>
      <c r="H954" t="s">
        <v>1863</v>
      </c>
      <c r="J954" t="s">
        <v>1869</v>
      </c>
    </row>
    <row r="955" spans="1:10">
      <c r="A955" s="1">
        <f>HYPERLINK("https://cms.ls-nyc.org/matter/dynamic-profile/view/1881324","18-1881324")</f>
        <v>0</v>
      </c>
      <c r="B955" t="s">
        <v>12</v>
      </c>
      <c r="C955" t="s">
        <v>40</v>
      </c>
      <c r="D955" t="s">
        <v>815</v>
      </c>
      <c r="G955" t="s">
        <v>1861</v>
      </c>
      <c r="J955" t="s">
        <v>1868</v>
      </c>
    </row>
    <row r="956" spans="1:10">
      <c r="A956" s="1">
        <f>HYPERLINK("https://cms.ls-nyc.org/matter/dynamic-profile/view/1881402","18-1881402")</f>
        <v>0</v>
      </c>
      <c r="B956" t="s">
        <v>13</v>
      </c>
      <c r="C956" t="s">
        <v>29</v>
      </c>
      <c r="D956" t="s">
        <v>816</v>
      </c>
      <c r="E956" t="s">
        <v>1804</v>
      </c>
      <c r="F956" t="s">
        <v>1853</v>
      </c>
      <c r="H956" t="s">
        <v>1863</v>
      </c>
      <c r="J956" t="s">
        <v>1867</v>
      </c>
    </row>
    <row r="957" spans="1:10">
      <c r="A957" s="1">
        <f>HYPERLINK("https://cms.ls-nyc.org/matter/dynamic-profile/view/1881404","18-1881404")</f>
        <v>0</v>
      </c>
      <c r="B957" t="s">
        <v>13</v>
      </c>
      <c r="C957" t="s">
        <v>29</v>
      </c>
      <c r="D957" t="s">
        <v>817</v>
      </c>
      <c r="E957" t="s">
        <v>1804</v>
      </c>
      <c r="F957" t="s">
        <v>1853</v>
      </c>
      <c r="H957" t="s">
        <v>1863</v>
      </c>
      <c r="J957" t="s">
        <v>1867</v>
      </c>
    </row>
    <row r="958" spans="1:10">
      <c r="A958" s="1">
        <f>HYPERLINK("https://cms.ls-nyc.org/matter/dynamic-profile/view/1881319","18-1881319")</f>
        <v>0</v>
      </c>
      <c r="B958" t="s">
        <v>13</v>
      </c>
      <c r="C958" t="s">
        <v>43</v>
      </c>
      <c r="D958" t="s">
        <v>818</v>
      </c>
      <c r="E958" t="s">
        <v>1803</v>
      </c>
      <c r="F958" t="s">
        <v>1855</v>
      </c>
      <c r="H958" t="s">
        <v>1863</v>
      </c>
      <c r="J958" t="s">
        <v>1871</v>
      </c>
    </row>
    <row r="959" spans="1:10">
      <c r="A959" s="1">
        <f>HYPERLINK("https://cms.ls-nyc.org/matter/dynamic-profile/view/1881331","18-1881331")</f>
        <v>0</v>
      </c>
      <c r="B959" t="s">
        <v>10</v>
      </c>
      <c r="C959" t="s">
        <v>16</v>
      </c>
      <c r="D959" t="s">
        <v>819</v>
      </c>
      <c r="E959" t="s">
        <v>1803</v>
      </c>
      <c r="F959" t="s">
        <v>1855</v>
      </c>
      <c r="H959" t="s">
        <v>1863</v>
      </c>
      <c r="J959" t="s">
        <v>1870</v>
      </c>
    </row>
    <row r="960" spans="1:10">
      <c r="A960" s="1">
        <f>HYPERLINK("https://cms.ls-nyc.org/matter/dynamic-profile/view/1881381","18-1881381")</f>
        <v>0</v>
      </c>
      <c r="B960" t="s">
        <v>10</v>
      </c>
      <c r="C960" t="s">
        <v>16</v>
      </c>
      <c r="D960" t="s">
        <v>820</v>
      </c>
      <c r="E960" t="s">
        <v>1814</v>
      </c>
      <c r="F960" t="s">
        <v>1853</v>
      </c>
      <c r="H960" t="s">
        <v>1863</v>
      </c>
      <c r="J960" t="s">
        <v>1869</v>
      </c>
    </row>
    <row r="961" spans="1:10">
      <c r="A961" s="1">
        <f>HYPERLINK("https://cms.ls-nyc.org/matter/dynamic-profile/view/1881408","18-1881408")</f>
        <v>0</v>
      </c>
      <c r="B961" t="s">
        <v>13</v>
      </c>
      <c r="C961" t="s">
        <v>24</v>
      </c>
      <c r="D961" t="s">
        <v>821</v>
      </c>
      <c r="E961" t="s">
        <v>1815</v>
      </c>
      <c r="F961" t="s">
        <v>1853</v>
      </c>
      <c r="H961" t="s">
        <v>1863</v>
      </c>
      <c r="J961" t="s">
        <v>1867</v>
      </c>
    </row>
    <row r="962" spans="1:10">
      <c r="A962" s="1">
        <f>HYPERLINK("https://cms.ls-nyc.org/matter/dynamic-profile/view/1881412","18-1881412")</f>
        <v>0</v>
      </c>
      <c r="B962" t="s">
        <v>13</v>
      </c>
      <c r="C962" t="s">
        <v>24</v>
      </c>
      <c r="D962" t="s">
        <v>822</v>
      </c>
      <c r="E962" t="s">
        <v>1815</v>
      </c>
      <c r="F962" t="s">
        <v>1853</v>
      </c>
      <c r="H962" t="s">
        <v>1863</v>
      </c>
      <c r="J962" t="s">
        <v>1867</v>
      </c>
    </row>
    <row r="963" spans="1:10">
      <c r="A963" s="1">
        <f>HYPERLINK("https://cms.ls-nyc.org/matter/dynamic-profile/view/1881276","18-1881276")</f>
        <v>0</v>
      </c>
      <c r="B963" t="s">
        <v>15</v>
      </c>
      <c r="C963" t="s">
        <v>35</v>
      </c>
      <c r="D963" t="s">
        <v>823</v>
      </c>
      <c r="F963" t="s">
        <v>1858</v>
      </c>
      <c r="H963" t="s">
        <v>1863</v>
      </c>
      <c r="J963" t="s">
        <v>1868</v>
      </c>
    </row>
    <row r="964" spans="1:10">
      <c r="A964" s="1">
        <f>HYPERLINK("https://cms.ls-nyc.org/matter/dynamic-profile/view/1881223","18-1881223")</f>
        <v>0</v>
      </c>
      <c r="B964" t="s">
        <v>15</v>
      </c>
      <c r="C964" t="s">
        <v>35</v>
      </c>
      <c r="D964" t="s">
        <v>824</v>
      </c>
      <c r="E964" t="s">
        <v>1809</v>
      </c>
      <c r="F964" t="s">
        <v>1858</v>
      </c>
      <c r="H964" t="s">
        <v>1863</v>
      </c>
      <c r="J964" t="s">
        <v>1868</v>
      </c>
    </row>
    <row r="965" spans="1:10">
      <c r="A965" s="1">
        <f>HYPERLINK("https://cms.ls-nyc.org/matter/dynamic-profile/view/1881202","18-1881202")</f>
        <v>0</v>
      </c>
      <c r="B965" t="s">
        <v>12</v>
      </c>
      <c r="C965" t="s">
        <v>21</v>
      </c>
      <c r="D965" t="s">
        <v>825</v>
      </c>
      <c r="E965" t="s">
        <v>1804</v>
      </c>
      <c r="F965" t="s">
        <v>1853</v>
      </c>
      <c r="H965" t="s">
        <v>1863</v>
      </c>
      <c r="J965" t="s">
        <v>1867</v>
      </c>
    </row>
    <row r="966" spans="1:10">
      <c r="A966" s="1">
        <f>HYPERLINK("https://cms.ls-nyc.org/matter/dynamic-profile/view/1878583","18-1878583")</f>
        <v>0</v>
      </c>
      <c r="B966" t="s">
        <v>13</v>
      </c>
      <c r="C966" t="s">
        <v>24</v>
      </c>
      <c r="D966" t="s">
        <v>826</v>
      </c>
      <c r="F966" t="s">
        <v>1858</v>
      </c>
      <c r="H966" t="s">
        <v>1863</v>
      </c>
      <c r="J966" t="s">
        <v>1868</v>
      </c>
    </row>
    <row r="967" spans="1:10">
      <c r="A967" s="1">
        <f>HYPERLINK("https://cms.ls-nyc.org/matter/dynamic-profile/view/1881224","18-1881224")</f>
        <v>0</v>
      </c>
      <c r="B967" t="s">
        <v>10</v>
      </c>
      <c r="C967" t="s">
        <v>44</v>
      </c>
      <c r="D967" t="s">
        <v>827</v>
      </c>
      <c r="E967" t="s">
        <v>1815</v>
      </c>
      <c r="F967" t="s">
        <v>1858</v>
      </c>
      <c r="H967" t="s">
        <v>1863</v>
      </c>
      <c r="J967" t="s">
        <v>1868</v>
      </c>
    </row>
    <row r="968" spans="1:10">
      <c r="A968" s="1">
        <f>HYPERLINK("https://cms.ls-nyc.org/matter/dynamic-profile/view/1857579","18-1857579")</f>
        <v>0</v>
      </c>
      <c r="B968" t="s">
        <v>13</v>
      </c>
      <c r="C968" t="s">
        <v>29</v>
      </c>
      <c r="D968" t="s">
        <v>817</v>
      </c>
      <c r="E968" t="s">
        <v>1809</v>
      </c>
      <c r="F968" t="s">
        <v>1855</v>
      </c>
      <c r="H968" t="s">
        <v>1863</v>
      </c>
      <c r="J968" t="s">
        <v>1870</v>
      </c>
    </row>
    <row r="969" spans="1:10">
      <c r="A969" s="1">
        <f>HYPERLINK("https://cms.ls-nyc.org/matter/dynamic-profile/view/1880912","18-1880912")</f>
        <v>0</v>
      </c>
      <c r="B969" t="s">
        <v>10</v>
      </c>
      <c r="C969" t="s">
        <v>16</v>
      </c>
      <c r="D969" t="s">
        <v>828</v>
      </c>
      <c r="E969" t="s">
        <v>1810</v>
      </c>
      <c r="F969" t="s">
        <v>1853</v>
      </c>
      <c r="H969" t="s">
        <v>1863</v>
      </c>
      <c r="J969" t="s">
        <v>1869</v>
      </c>
    </row>
    <row r="970" spans="1:10">
      <c r="A970" s="1">
        <f>HYPERLINK("https://cms.ls-nyc.org/matter/dynamic-profile/view/1881188","18-1881188")</f>
        <v>0</v>
      </c>
      <c r="B970" t="s">
        <v>10</v>
      </c>
      <c r="C970" t="s">
        <v>16</v>
      </c>
      <c r="D970" t="s">
        <v>87</v>
      </c>
      <c r="E970" t="s">
        <v>1810</v>
      </c>
      <c r="F970" t="s">
        <v>1853</v>
      </c>
      <c r="H970" t="s">
        <v>1863</v>
      </c>
      <c r="J970" t="s">
        <v>1869</v>
      </c>
    </row>
    <row r="971" spans="1:10">
      <c r="A971" s="1">
        <f>HYPERLINK("https://cms.ls-nyc.org/matter/dynamic-profile/view/1881214","18-1881214")</f>
        <v>0</v>
      </c>
      <c r="B971" t="s">
        <v>11</v>
      </c>
      <c r="C971" t="s">
        <v>37</v>
      </c>
      <c r="D971" t="s">
        <v>276</v>
      </c>
      <c r="E971" t="s">
        <v>1809</v>
      </c>
      <c r="F971" t="s">
        <v>1855</v>
      </c>
      <c r="H971" t="s">
        <v>1863</v>
      </c>
      <c r="J971" t="s">
        <v>1871</v>
      </c>
    </row>
    <row r="972" spans="1:10">
      <c r="A972" s="1">
        <f>HYPERLINK("https://cms.ls-nyc.org/matter/dynamic-profile/view/1881260","18-1881260")</f>
        <v>0</v>
      </c>
      <c r="B972" t="s">
        <v>10</v>
      </c>
      <c r="C972" t="s">
        <v>44</v>
      </c>
      <c r="D972" t="s">
        <v>829</v>
      </c>
      <c r="E972" t="s">
        <v>1815</v>
      </c>
      <c r="F972" t="s">
        <v>1856</v>
      </c>
      <c r="H972" t="s">
        <v>1863</v>
      </c>
      <c r="J972" t="s">
        <v>1866</v>
      </c>
    </row>
    <row r="973" spans="1:10">
      <c r="A973" s="1">
        <f>HYPERLINK("https://cms.ls-nyc.org/matter/dynamic-profile/view/1882074","18-1882074")</f>
        <v>0</v>
      </c>
      <c r="B973" t="s">
        <v>13</v>
      </c>
      <c r="C973" t="s">
        <v>24</v>
      </c>
      <c r="D973" t="s">
        <v>803</v>
      </c>
      <c r="E973" t="s">
        <v>1809</v>
      </c>
      <c r="F973" t="s">
        <v>1855</v>
      </c>
      <c r="H973" t="s">
        <v>1863</v>
      </c>
      <c r="J973" t="s">
        <v>1870</v>
      </c>
    </row>
    <row r="974" spans="1:10">
      <c r="A974" s="1">
        <f>HYPERLINK("https://cms.ls-nyc.org/matter/dynamic-profile/view/1879984","18-1879984")</f>
        <v>0</v>
      </c>
      <c r="B974" t="s">
        <v>13</v>
      </c>
      <c r="C974" t="s">
        <v>24</v>
      </c>
      <c r="D974" t="s">
        <v>830</v>
      </c>
      <c r="E974" t="s">
        <v>1803</v>
      </c>
      <c r="F974" t="s">
        <v>1858</v>
      </c>
      <c r="H974" t="s">
        <v>1863</v>
      </c>
      <c r="J974" t="s">
        <v>1868</v>
      </c>
    </row>
    <row r="975" spans="1:10">
      <c r="A975" s="1">
        <f>HYPERLINK("https://cms.ls-nyc.org/matter/dynamic-profile/view/1881045","18-1881045")</f>
        <v>0</v>
      </c>
      <c r="B975" t="s">
        <v>10</v>
      </c>
      <c r="C975" t="s">
        <v>16</v>
      </c>
      <c r="D975" t="s">
        <v>831</v>
      </c>
      <c r="E975" t="s">
        <v>1810</v>
      </c>
      <c r="F975" t="s">
        <v>1856</v>
      </c>
      <c r="H975" t="s">
        <v>1863</v>
      </c>
      <c r="J975" t="s">
        <v>1866</v>
      </c>
    </row>
    <row r="976" spans="1:10">
      <c r="A976" s="1">
        <f>HYPERLINK("https://cms.ls-nyc.org/matter/dynamic-profile/view/1881110","18-1881110")</f>
        <v>0</v>
      </c>
      <c r="B976" t="s">
        <v>14</v>
      </c>
      <c r="C976" t="s">
        <v>31</v>
      </c>
      <c r="D976" t="s">
        <v>224</v>
      </c>
      <c r="E976" t="s">
        <v>1803</v>
      </c>
      <c r="F976" t="s">
        <v>1855</v>
      </c>
      <c r="H976" t="s">
        <v>1863</v>
      </c>
      <c r="J976" t="s">
        <v>1870</v>
      </c>
    </row>
    <row r="977" spans="1:10">
      <c r="A977" s="1">
        <f>HYPERLINK("https://cms.ls-nyc.org/matter/dynamic-profile/view/1881130","18-1881130")</f>
        <v>0</v>
      </c>
      <c r="B977" t="s">
        <v>12</v>
      </c>
      <c r="C977" t="s">
        <v>21</v>
      </c>
      <c r="D977" t="s">
        <v>832</v>
      </c>
      <c r="E977" t="s">
        <v>1809</v>
      </c>
      <c r="F977" t="s">
        <v>1860</v>
      </c>
      <c r="H977" t="s">
        <v>1863</v>
      </c>
      <c r="J977" t="s">
        <v>1871</v>
      </c>
    </row>
    <row r="978" spans="1:10">
      <c r="A978" s="1">
        <f>HYPERLINK("https://cms.ls-nyc.org/matter/dynamic-profile/view/1881145","18-1881145")</f>
        <v>0</v>
      </c>
      <c r="B978" t="s">
        <v>11</v>
      </c>
      <c r="C978" t="s">
        <v>38</v>
      </c>
      <c r="D978" t="s">
        <v>833</v>
      </c>
      <c r="E978" t="s">
        <v>1815</v>
      </c>
      <c r="F978" t="s">
        <v>1853</v>
      </c>
      <c r="H978" t="s">
        <v>1863</v>
      </c>
      <c r="J978" t="s">
        <v>1867</v>
      </c>
    </row>
    <row r="979" spans="1:10">
      <c r="A979" s="1">
        <f>HYPERLINK("https://cms.ls-nyc.org/matter/dynamic-profile/view/1881159","18-1881159")</f>
        <v>0</v>
      </c>
      <c r="B979" t="s">
        <v>15</v>
      </c>
      <c r="C979" t="s">
        <v>35</v>
      </c>
      <c r="D979" t="s">
        <v>498</v>
      </c>
      <c r="E979" t="s">
        <v>1809</v>
      </c>
      <c r="F979" t="s">
        <v>1855</v>
      </c>
      <c r="H979" t="s">
        <v>1863</v>
      </c>
      <c r="J979" t="s">
        <v>1870</v>
      </c>
    </row>
    <row r="980" spans="1:10">
      <c r="A980" s="1">
        <f>HYPERLINK("https://cms.ls-nyc.org/matter/dynamic-profile/view/1881020","18-1881020")</f>
        <v>0</v>
      </c>
      <c r="B980" t="s">
        <v>14</v>
      </c>
      <c r="C980" t="s">
        <v>25</v>
      </c>
      <c r="D980" t="s">
        <v>834</v>
      </c>
      <c r="F980" t="s">
        <v>1858</v>
      </c>
      <c r="G980" t="s">
        <v>1861</v>
      </c>
      <c r="J980" t="s">
        <v>1868</v>
      </c>
    </row>
    <row r="981" spans="1:10">
      <c r="A981" s="1">
        <f>HYPERLINK("https://cms.ls-nyc.org/matter/dynamic-profile/view/1880907","18-1880907")</f>
        <v>0</v>
      </c>
      <c r="B981" t="s">
        <v>15</v>
      </c>
      <c r="C981" t="s">
        <v>35</v>
      </c>
      <c r="D981" t="s">
        <v>504</v>
      </c>
      <c r="E981" t="s">
        <v>1803</v>
      </c>
      <c r="F981" t="s">
        <v>1855</v>
      </c>
      <c r="H981" t="s">
        <v>1863</v>
      </c>
      <c r="J981" t="s">
        <v>1871</v>
      </c>
    </row>
    <row r="982" spans="1:10">
      <c r="A982" s="1">
        <f>HYPERLINK("https://cms.ls-nyc.org/matter/dynamic-profile/view/1880969","18-1880969")</f>
        <v>0</v>
      </c>
      <c r="B982" t="s">
        <v>10</v>
      </c>
      <c r="C982" t="s">
        <v>16</v>
      </c>
      <c r="D982" t="s">
        <v>835</v>
      </c>
      <c r="E982" t="s">
        <v>1807</v>
      </c>
      <c r="F982" t="s">
        <v>1853</v>
      </c>
      <c r="H982" t="s">
        <v>1863</v>
      </c>
      <c r="J982" t="s">
        <v>1869</v>
      </c>
    </row>
    <row r="983" spans="1:10">
      <c r="A983" s="1">
        <f>HYPERLINK("https://cms.ls-nyc.org/matter/dynamic-profile/view/1880987","18-1880987")</f>
        <v>0</v>
      </c>
      <c r="B983" t="s">
        <v>10</v>
      </c>
      <c r="C983" t="s">
        <v>17</v>
      </c>
      <c r="D983" t="s">
        <v>836</v>
      </c>
      <c r="E983" t="s">
        <v>1815</v>
      </c>
      <c r="F983" t="s">
        <v>1853</v>
      </c>
      <c r="H983" t="s">
        <v>1863</v>
      </c>
      <c r="J983" t="s">
        <v>1867</v>
      </c>
    </row>
    <row r="984" spans="1:10">
      <c r="A984" s="1">
        <f>HYPERLINK("https://cms.ls-nyc.org/matter/dynamic-profile/view/1881018","18-1881018")</f>
        <v>0</v>
      </c>
      <c r="B984" t="s">
        <v>10</v>
      </c>
      <c r="C984" t="s">
        <v>16</v>
      </c>
      <c r="D984" t="s">
        <v>837</v>
      </c>
      <c r="E984" t="s">
        <v>1807</v>
      </c>
      <c r="F984" t="s">
        <v>1853</v>
      </c>
      <c r="H984" t="s">
        <v>1863</v>
      </c>
      <c r="J984" t="s">
        <v>1869</v>
      </c>
    </row>
    <row r="985" spans="1:10">
      <c r="A985" s="1">
        <f>HYPERLINK("https://cms.ls-nyc.org/matter/dynamic-profile/view/1881154","18-1881154")</f>
        <v>0</v>
      </c>
      <c r="B985" t="s">
        <v>13</v>
      </c>
      <c r="C985" t="s">
        <v>29</v>
      </c>
      <c r="D985" t="s">
        <v>838</v>
      </c>
      <c r="E985" t="s">
        <v>1828</v>
      </c>
      <c r="F985" t="s">
        <v>1853</v>
      </c>
      <c r="H985" t="s">
        <v>1863</v>
      </c>
      <c r="J985" t="s">
        <v>1869</v>
      </c>
    </row>
    <row r="986" spans="1:10">
      <c r="A986" s="1">
        <f>HYPERLINK("https://cms.ls-nyc.org/matter/dynamic-profile/view/1880857","18-1880857")</f>
        <v>0</v>
      </c>
      <c r="B986" t="s">
        <v>14</v>
      </c>
      <c r="C986" t="s">
        <v>42</v>
      </c>
      <c r="D986" t="s">
        <v>839</v>
      </c>
      <c r="E986" t="s">
        <v>1821</v>
      </c>
      <c r="F986" t="s">
        <v>1858</v>
      </c>
      <c r="G986" t="s">
        <v>1861</v>
      </c>
      <c r="I986" t="s">
        <v>1865</v>
      </c>
      <c r="J986" t="s">
        <v>1866</v>
      </c>
    </row>
    <row r="987" spans="1:10">
      <c r="A987" s="1">
        <f>HYPERLINK("https://cms.ls-nyc.org/matter/dynamic-profile/view/1880905","18-1880905")</f>
        <v>0</v>
      </c>
      <c r="B987" t="s">
        <v>12</v>
      </c>
      <c r="C987" t="s">
        <v>21</v>
      </c>
      <c r="D987" t="s">
        <v>840</v>
      </c>
      <c r="E987" t="s">
        <v>1807</v>
      </c>
      <c r="F987" t="s">
        <v>1853</v>
      </c>
      <c r="H987" t="s">
        <v>1863</v>
      </c>
      <c r="J987" t="s">
        <v>1869</v>
      </c>
    </row>
    <row r="988" spans="1:10">
      <c r="A988" s="1">
        <f>HYPERLINK("https://cms.ls-nyc.org/matter/dynamic-profile/view/1880869","18-1880869")</f>
        <v>0</v>
      </c>
      <c r="B988" t="s">
        <v>10</v>
      </c>
      <c r="C988" t="s">
        <v>16</v>
      </c>
      <c r="D988" t="s">
        <v>608</v>
      </c>
      <c r="E988" t="s">
        <v>1810</v>
      </c>
      <c r="F988" t="s">
        <v>1853</v>
      </c>
      <c r="H988" t="s">
        <v>1863</v>
      </c>
      <c r="J988" t="s">
        <v>1869</v>
      </c>
    </row>
    <row r="989" spans="1:10">
      <c r="A989" s="1">
        <f>HYPERLINK("https://cms.ls-nyc.org/matter/dynamic-profile/view/1880830","18-1880830")</f>
        <v>0</v>
      </c>
      <c r="B989" t="s">
        <v>12</v>
      </c>
      <c r="C989" t="s">
        <v>21</v>
      </c>
      <c r="D989" t="s">
        <v>841</v>
      </c>
      <c r="E989" t="s">
        <v>1807</v>
      </c>
      <c r="F989" t="s">
        <v>1858</v>
      </c>
      <c r="H989" t="s">
        <v>1863</v>
      </c>
      <c r="J989" t="s">
        <v>1868</v>
      </c>
    </row>
    <row r="990" spans="1:10">
      <c r="A990" s="1">
        <f>HYPERLINK("https://cms.ls-nyc.org/matter/dynamic-profile/view/1880697","18-1880697")</f>
        <v>0</v>
      </c>
      <c r="B990" t="s">
        <v>12</v>
      </c>
      <c r="C990" t="s">
        <v>49</v>
      </c>
      <c r="D990" t="s">
        <v>842</v>
      </c>
      <c r="G990" t="s">
        <v>1861</v>
      </c>
      <c r="J990" t="s">
        <v>1866</v>
      </c>
    </row>
    <row r="991" spans="1:10">
      <c r="A991" s="1">
        <f>HYPERLINK("https://cms.ls-nyc.org/matter/dynamic-profile/view/1880791","18-1880791")</f>
        <v>0</v>
      </c>
      <c r="B991" t="s">
        <v>10</v>
      </c>
      <c r="C991" t="s">
        <v>16</v>
      </c>
      <c r="D991" t="s">
        <v>843</v>
      </c>
      <c r="E991" t="s">
        <v>1807</v>
      </c>
      <c r="F991" t="s">
        <v>1858</v>
      </c>
      <c r="H991" t="s">
        <v>1863</v>
      </c>
      <c r="J991" t="s">
        <v>1868</v>
      </c>
    </row>
    <row r="992" spans="1:10">
      <c r="A992" s="1">
        <f>HYPERLINK("https://cms.ls-nyc.org/matter/dynamic-profile/view/1880794","18-1880794")</f>
        <v>0</v>
      </c>
      <c r="B992" t="s">
        <v>10</v>
      </c>
      <c r="C992" t="s">
        <v>16</v>
      </c>
      <c r="D992" t="s">
        <v>844</v>
      </c>
      <c r="E992" t="s">
        <v>1809</v>
      </c>
      <c r="F992" t="s">
        <v>1855</v>
      </c>
      <c r="H992" t="s">
        <v>1863</v>
      </c>
      <c r="J992" t="s">
        <v>1870</v>
      </c>
    </row>
    <row r="993" spans="1:10">
      <c r="A993" s="1">
        <f>HYPERLINK("https://cms.ls-nyc.org/matter/dynamic-profile/view/1880828","18-1880828")</f>
        <v>0</v>
      </c>
      <c r="B993" t="s">
        <v>15</v>
      </c>
      <c r="C993" t="s">
        <v>27</v>
      </c>
      <c r="D993" t="s">
        <v>845</v>
      </c>
      <c r="E993" t="s">
        <v>1802</v>
      </c>
      <c r="G993" t="s">
        <v>1861</v>
      </c>
      <c r="J993" t="s">
        <v>1869</v>
      </c>
    </row>
    <row r="994" spans="1:10">
      <c r="A994" s="1">
        <f>HYPERLINK("https://cms.ls-nyc.org/matter/dynamic-profile/view/1880831","18-1880831")</f>
        <v>0</v>
      </c>
      <c r="B994" t="s">
        <v>12</v>
      </c>
      <c r="C994" t="s">
        <v>21</v>
      </c>
      <c r="D994" t="s">
        <v>846</v>
      </c>
      <c r="E994" t="s">
        <v>1807</v>
      </c>
      <c r="F994" t="s">
        <v>1853</v>
      </c>
      <c r="H994" t="s">
        <v>1863</v>
      </c>
      <c r="J994" t="s">
        <v>1869</v>
      </c>
    </row>
    <row r="995" spans="1:10">
      <c r="A995" s="1">
        <f>HYPERLINK("https://cms.ls-nyc.org/matter/dynamic-profile/view/1880581","18-1880581")</f>
        <v>0</v>
      </c>
      <c r="B995" t="s">
        <v>15</v>
      </c>
      <c r="C995" t="s">
        <v>35</v>
      </c>
      <c r="D995" t="s">
        <v>745</v>
      </c>
      <c r="E995" t="s">
        <v>1803</v>
      </c>
      <c r="F995" t="s">
        <v>1855</v>
      </c>
      <c r="H995" t="s">
        <v>1863</v>
      </c>
      <c r="J995" t="s">
        <v>1871</v>
      </c>
    </row>
    <row r="996" spans="1:10">
      <c r="A996" s="1">
        <f>HYPERLINK("https://cms.ls-nyc.org/matter/dynamic-profile/view/1880630","18-1880630")</f>
        <v>0</v>
      </c>
      <c r="B996" t="s">
        <v>10</v>
      </c>
      <c r="C996" t="s">
        <v>16</v>
      </c>
      <c r="D996" t="s">
        <v>92</v>
      </c>
      <c r="E996" t="s">
        <v>1809</v>
      </c>
      <c r="F996" t="s">
        <v>1855</v>
      </c>
      <c r="H996" t="s">
        <v>1863</v>
      </c>
      <c r="J996" t="s">
        <v>1870</v>
      </c>
    </row>
    <row r="997" spans="1:10">
      <c r="A997" s="1">
        <f>HYPERLINK("https://cms.ls-nyc.org/matter/dynamic-profile/view/1880863","18-1880863")</f>
        <v>0</v>
      </c>
      <c r="B997" t="s">
        <v>13</v>
      </c>
      <c r="C997" t="s">
        <v>29</v>
      </c>
      <c r="D997" t="s">
        <v>564</v>
      </c>
      <c r="E997" t="s">
        <v>1809</v>
      </c>
      <c r="F997" t="s">
        <v>1855</v>
      </c>
      <c r="H997" t="s">
        <v>1863</v>
      </c>
      <c r="J997" t="s">
        <v>1870</v>
      </c>
    </row>
    <row r="998" spans="1:10">
      <c r="A998" s="1">
        <f>HYPERLINK("https://cms.ls-nyc.org/matter/dynamic-profile/view/1880866","18-1880866")</f>
        <v>0</v>
      </c>
      <c r="B998" t="s">
        <v>13</v>
      </c>
      <c r="C998" t="s">
        <v>29</v>
      </c>
      <c r="D998" t="s">
        <v>575</v>
      </c>
      <c r="E998" t="s">
        <v>1809</v>
      </c>
      <c r="F998" t="s">
        <v>1855</v>
      </c>
      <c r="H998" t="s">
        <v>1863</v>
      </c>
      <c r="J998" t="s">
        <v>1870</v>
      </c>
    </row>
    <row r="999" spans="1:10">
      <c r="A999" s="1">
        <f>HYPERLINK("https://cms.ls-nyc.org/matter/dynamic-profile/view/1878818","18-1878818")</f>
        <v>0</v>
      </c>
      <c r="B999" t="s">
        <v>13</v>
      </c>
      <c r="C999" t="s">
        <v>24</v>
      </c>
      <c r="D999" t="s">
        <v>316</v>
      </c>
      <c r="E999" t="s">
        <v>1810</v>
      </c>
      <c r="F999" t="s">
        <v>1853</v>
      </c>
      <c r="H999" t="s">
        <v>1863</v>
      </c>
      <c r="J999" t="s">
        <v>1869</v>
      </c>
    </row>
    <row r="1000" spans="1:10">
      <c r="A1000" s="1">
        <f>HYPERLINK("https://cms.ls-nyc.org/matter/dynamic-profile/view/1879652","18-1879652")</f>
        <v>0</v>
      </c>
      <c r="B1000" t="s">
        <v>13</v>
      </c>
      <c r="C1000" t="s">
        <v>24</v>
      </c>
      <c r="D1000" t="s">
        <v>847</v>
      </c>
      <c r="E1000" t="s">
        <v>1804</v>
      </c>
      <c r="F1000" t="s">
        <v>1853</v>
      </c>
      <c r="H1000" t="s">
        <v>1863</v>
      </c>
      <c r="J1000" t="s">
        <v>1867</v>
      </c>
    </row>
    <row r="1001" spans="1:10">
      <c r="A1001" s="1">
        <f>HYPERLINK("https://cms.ls-nyc.org/matter/dynamic-profile/view/1880412","18-1880412")</f>
        <v>0</v>
      </c>
      <c r="B1001" t="s">
        <v>12</v>
      </c>
      <c r="C1001" t="s">
        <v>40</v>
      </c>
      <c r="D1001" t="s">
        <v>848</v>
      </c>
      <c r="E1001" t="s">
        <v>1800</v>
      </c>
      <c r="F1001" t="s">
        <v>1853</v>
      </c>
      <c r="H1001" t="s">
        <v>1863</v>
      </c>
      <c r="J1001" t="s">
        <v>1867</v>
      </c>
    </row>
    <row r="1002" spans="1:10">
      <c r="A1002" s="1">
        <f>HYPERLINK("https://cms.ls-nyc.org/matter/dynamic-profile/view/1880452","18-1880452")</f>
        <v>0</v>
      </c>
      <c r="B1002" t="s">
        <v>14</v>
      </c>
      <c r="C1002" t="s">
        <v>28</v>
      </c>
      <c r="D1002" t="s">
        <v>798</v>
      </c>
      <c r="E1002" t="s">
        <v>1821</v>
      </c>
      <c r="F1002" t="s">
        <v>1853</v>
      </c>
      <c r="H1002" t="s">
        <v>1863</v>
      </c>
      <c r="J1002" t="s">
        <v>1867</v>
      </c>
    </row>
    <row r="1003" spans="1:10">
      <c r="A1003" s="1">
        <f>HYPERLINK("https://cms.ls-nyc.org/matter/dynamic-profile/view/1880494","18-1880494")</f>
        <v>0</v>
      </c>
      <c r="B1003" t="s">
        <v>10</v>
      </c>
      <c r="C1003" t="s">
        <v>16</v>
      </c>
      <c r="D1003" t="s">
        <v>309</v>
      </c>
      <c r="E1003" t="s">
        <v>1810</v>
      </c>
      <c r="F1003" t="s">
        <v>1853</v>
      </c>
      <c r="H1003" t="s">
        <v>1863</v>
      </c>
      <c r="J1003" t="s">
        <v>1869</v>
      </c>
    </row>
    <row r="1004" spans="1:10">
      <c r="A1004" s="1">
        <f>HYPERLINK("https://cms.ls-nyc.org/matter/dynamic-profile/view/1880506","18-1880506")</f>
        <v>0</v>
      </c>
      <c r="B1004" t="s">
        <v>12</v>
      </c>
      <c r="C1004" t="s">
        <v>33</v>
      </c>
      <c r="D1004" t="s">
        <v>849</v>
      </c>
      <c r="E1004" t="s">
        <v>1807</v>
      </c>
      <c r="F1004" t="s">
        <v>1853</v>
      </c>
      <c r="H1004" t="s">
        <v>1863</v>
      </c>
      <c r="J1004" t="s">
        <v>1869</v>
      </c>
    </row>
    <row r="1005" spans="1:10">
      <c r="A1005" s="1">
        <f>HYPERLINK("https://cms.ls-nyc.org/matter/dynamic-profile/view/1881038","18-1881038")</f>
        <v>0</v>
      </c>
      <c r="B1005" t="s">
        <v>12</v>
      </c>
      <c r="C1005" t="s">
        <v>33</v>
      </c>
      <c r="D1005" t="s">
        <v>850</v>
      </c>
      <c r="E1005" t="s">
        <v>1815</v>
      </c>
      <c r="F1005" t="s">
        <v>1858</v>
      </c>
      <c r="H1005" t="s">
        <v>1863</v>
      </c>
      <c r="J1005" t="s">
        <v>1868</v>
      </c>
    </row>
    <row r="1006" spans="1:10">
      <c r="A1006" s="1">
        <f>HYPERLINK("https://cms.ls-nyc.org/matter/dynamic-profile/view/1880314","18-1880314")</f>
        <v>0</v>
      </c>
      <c r="B1006" t="s">
        <v>12</v>
      </c>
      <c r="C1006" t="s">
        <v>16</v>
      </c>
      <c r="D1006" t="s">
        <v>851</v>
      </c>
      <c r="E1006" t="s">
        <v>1807</v>
      </c>
      <c r="F1006" t="s">
        <v>1858</v>
      </c>
      <c r="H1006" t="s">
        <v>1863</v>
      </c>
      <c r="J1006" t="s">
        <v>1868</v>
      </c>
    </row>
    <row r="1007" spans="1:10">
      <c r="A1007" s="1">
        <f>HYPERLINK("https://cms.ls-nyc.org/matter/dynamic-profile/view/1880381","18-1880381")</f>
        <v>0</v>
      </c>
      <c r="B1007" t="s">
        <v>14</v>
      </c>
      <c r="C1007" t="s">
        <v>42</v>
      </c>
      <c r="D1007" t="s">
        <v>768</v>
      </c>
      <c r="E1007" t="s">
        <v>1804</v>
      </c>
      <c r="F1007" t="s">
        <v>1853</v>
      </c>
      <c r="H1007" t="s">
        <v>1863</v>
      </c>
      <c r="J1007" t="s">
        <v>1867</v>
      </c>
    </row>
    <row r="1008" spans="1:10">
      <c r="A1008" s="1">
        <f>HYPERLINK("https://cms.ls-nyc.org/matter/dynamic-profile/view/1880279","18-1880279")</f>
        <v>0</v>
      </c>
      <c r="B1008" t="s">
        <v>10</v>
      </c>
      <c r="C1008" t="s">
        <v>16</v>
      </c>
      <c r="D1008" t="s">
        <v>852</v>
      </c>
      <c r="E1008" t="s">
        <v>1816</v>
      </c>
      <c r="F1008" t="s">
        <v>1853</v>
      </c>
      <c r="H1008" t="s">
        <v>1863</v>
      </c>
      <c r="J1008" t="s">
        <v>1867</v>
      </c>
    </row>
    <row r="1009" spans="1:10">
      <c r="A1009" s="1">
        <f>HYPERLINK("https://cms.ls-nyc.org/matter/dynamic-profile/view/1880287","18-1880287")</f>
        <v>0</v>
      </c>
      <c r="B1009" t="s">
        <v>10</v>
      </c>
      <c r="C1009" t="s">
        <v>17</v>
      </c>
      <c r="D1009" t="s">
        <v>88</v>
      </c>
      <c r="E1009" t="s">
        <v>1815</v>
      </c>
      <c r="F1009" t="s">
        <v>1853</v>
      </c>
      <c r="H1009" t="s">
        <v>1863</v>
      </c>
      <c r="J1009" t="s">
        <v>1867</v>
      </c>
    </row>
    <row r="1010" spans="1:10">
      <c r="A1010" s="1">
        <f>HYPERLINK("https://cms.ls-nyc.org/matter/dynamic-profile/view/1880296","18-1880296")</f>
        <v>0</v>
      </c>
      <c r="B1010" t="s">
        <v>12</v>
      </c>
      <c r="C1010" t="s">
        <v>21</v>
      </c>
      <c r="D1010" t="s">
        <v>853</v>
      </c>
      <c r="E1010" t="s">
        <v>1809</v>
      </c>
      <c r="F1010" t="s">
        <v>1855</v>
      </c>
      <c r="H1010" t="s">
        <v>1863</v>
      </c>
      <c r="J1010" t="s">
        <v>1871</v>
      </c>
    </row>
    <row r="1011" spans="1:10">
      <c r="A1011" s="1">
        <f>HYPERLINK("https://cms.ls-nyc.org/matter/dynamic-profile/view/1880357","18-1880357")</f>
        <v>0</v>
      </c>
      <c r="B1011" t="s">
        <v>10</v>
      </c>
      <c r="C1011" t="s">
        <v>16</v>
      </c>
      <c r="D1011" t="s">
        <v>854</v>
      </c>
      <c r="E1011" t="s">
        <v>1816</v>
      </c>
      <c r="F1011" t="s">
        <v>1853</v>
      </c>
      <c r="H1011" t="s">
        <v>1863</v>
      </c>
      <c r="J1011" t="s">
        <v>1867</v>
      </c>
    </row>
    <row r="1012" spans="1:10">
      <c r="A1012" s="1">
        <f>HYPERLINK("https://cms.ls-nyc.org/matter/dynamic-profile/view/1880371","18-1880371")</f>
        <v>0</v>
      </c>
      <c r="B1012" t="s">
        <v>14</v>
      </c>
      <c r="C1012" t="s">
        <v>31</v>
      </c>
      <c r="D1012" t="s">
        <v>222</v>
      </c>
      <c r="E1012" t="s">
        <v>1802</v>
      </c>
      <c r="F1012" t="s">
        <v>1853</v>
      </c>
      <c r="H1012" t="s">
        <v>1863</v>
      </c>
      <c r="J1012" t="s">
        <v>1869</v>
      </c>
    </row>
    <row r="1013" spans="1:10">
      <c r="A1013" s="1">
        <f>HYPERLINK("https://cms.ls-nyc.org/matter/dynamic-profile/view/1880374","18-1880374")</f>
        <v>0</v>
      </c>
      <c r="B1013" t="s">
        <v>10</v>
      </c>
      <c r="C1013" t="s">
        <v>16</v>
      </c>
      <c r="D1013" t="s">
        <v>855</v>
      </c>
      <c r="E1013" t="s">
        <v>1816</v>
      </c>
      <c r="F1013" t="s">
        <v>1853</v>
      </c>
      <c r="H1013" t="s">
        <v>1863</v>
      </c>
      <c r="J1013" t="s">
        <v>1867</v>
      </c>
    </row>
    <row r="1014" spans="1:10">
      <c r="A1014" s="1">
        <f>HYPERLINK("https://cms.ls-nyc.org/matter/dynamic-profile/view/1880376","18-1880376")</f>
        <v>0</v>
      </c>
      <c r="B1014" t="s">
        <v>14</v>
      </c>
      <c r="C1014" t="s">
        <v>31</v>
      </c>
      <c r="D1014" t="s">
        <v>221</v>
      </c>
      <c r="E1014" t="s">
        <v>1802</v>
      </c>
      <c r="F1014" t="s">
        <v>1853</v>
      </c>
      <c r="H1014" t="s">
        <v>1863</v>
      </c>
      <c r="J1014" t="s">
        <v>1869</v>
      </c>
    </row>
    <row r="1015" spans="1:10">
      <c r="A1015" s="1">
        <f>HYPERLINK("https://cms.ls-nyc.org/matter/dynamic-profile/view/1880091","18-1880091")</f>
        <v>0</v>
      </c>
      <c r="B1015" t="s">
        <v>10</v>
      </c>
      <c r="C1015" t="s">
        <v>30</v>
      </c>
      <c r="D1015" t="s">
        <v>856</v>
      </c>
      <c r="E1015" t="s">
        <v>1810</v>
      </c>
      <c r="F1015" t="s">
        <v>1856</v>
      </c>
      <c r="H1015" t="s">
        <v>1863</v>
      </c>
      <c r="J1015" t="s">
        <v>1866</v>
      </c>
    </row>
    <row r="1016" spans="1:10">
      <c r="A1016" s="1">
        <f>HYPERLINK("https://cms.ls-nyc.org/matter/dynamic-profile/view/1880152","18-1880152")</f>
        <v>0</v>
      </c>
      <c r="B1016" t="s">
        <v>11</v>
      </c>
      <c r="C1016" t="s">
        <v>39</v>
      </c>
      <c r="D1016" t="s">
        <v>857</v>
      </c>
      <c r="E1016" t="s">
        <v>1810</v>
      </c>
      <c r="G1016" t="s">
        <v>1861</v>
      </c>
      <c r="J1016" t="s">
        <v>1869</v>
      </c>
    </row>
    <row r="1017" spans="1:10">
      <c r="A1017" s="1">
        <f>HYPERLINK("https://cms.ls-nyc.org/matter/dynamic-profile/view/1880170","18-1880170")</f>
        <v>0</v>
      </c>
      <c r="B1017" t="s">
        <v>15</v>
      </c>
      <c r="C1017" t="s">
        <v>35</v>
      </c>
      <c r="D1017" t="s">
        <v>858</v>
      </c>
      <c r="H1017" t="s">
        <v>1863</v>
      </c>
      <c r="J1017" t="s">
        <v>1866</v>
      </c>
    </row>
    <row r="1018" spans="1:10">
      <c r="A1018" s="1">
        <f>HYPERLINK("https://cms.ls-nyc.org/matter/dynamic-profile/view/1880032","18-1880032")</f>
        <v>0</v>
      </c>
      <c r="B1018" t="s">
        <v>10</v>
      </c>
      <c r="C1018" t="s">
        <v>16</v>
      </c>
      <c r="D1018" t="s">
        <v>859</v>
      </c>
      <c r="E1018" t="s">
        <v>1815</v>
      </c>
      <c r="F1018" t="s">
        <v>1858</v>
      </c>
      <c r="H1018" t="s">
        <v>1863</v>
      </c>
      <c r="J1018" t="s">
        <v>1868</v>
      </c>
    </row>
    <row r="1019" spans="1:10">
      <c r="A1019" s="1">
        <f>HYPERLINK("https://cms.ls-nyc.org/matter/dynamic-profile/view/1880118","18-1880118")</f>
        <v>0</v>
      </c>
      <c r="B1019" t="s">
        <v>10</v>
      </c>
      <c r="C1019" t="s">
        <v>30</v>
      </c>
      <c r="D1019" t="s">
        <v>860</v>
      </c>
      <c r="E1019" t="s">
        <v>1815</v>
      </c>
      <c r="F1019" t="s">
        <v>1858</v>
      </c>
      <c r="H1019" t="s">
        <v>1863</v>
      </c>
      <c r="J1019" t="s">
        <v>1868</v>
      </c>
    </row>
    <row r="1020" spans="1:10">
      <c r="A1020" s="1">
        <f>HYPERLINK("https://cms.ls-nyc.org/matter/dynamic-profile/view/1880010","18-1880010")</f>
        <v>0</v>
      </c>
      <c r="B1020" t="s">
        <v>11</v>
      </c>
      <c r="C1020" t="s">
        <v>38</v>
      </c>
      <c r="D1020" t="s">
        <v>721</v>
      </c>
      <c r="E1020" t="s">
        <v>1809</v>
      </c>
      <c r="F1020" t="s">
        <v>1855</v>
      </c>
      <c r="H1020" t="s">
        <v>1863</v>
      </c>
      <c r="J1020" t="s">
        <v>1871</v>
      </c>
    </row>
    <row r="1021" spans="1:10">
      <c r="A1021" s="1">
        <f>HYPERLINK("https://cms.ls-nyc.org/matter/dynamic-profile/view/1880022","18-1880022")</f>
        <v>0</v>
      </c>
      <c r="B1021" t="s">
        <v>11</v>
      </c>
      <c r="C1021" t="s">
        <v>38</v>
      </c>
      <c r="D1021" t="s">
        <v>558</v>
      </c>
      <c r="E1021" t="s">
        <v>1809</v>
      </c>
      <c r="F1021" t="s">
        <v>1855</v>
      </c>
      <c r="H1021" t="s">
        <v>1863</v>
      </c>
      <c r="J1021" t="s">
        <v>1870</v>
      </c>
    </row>
    <row r="1022" spans="1:10">
      <c r="A1022" s="1">
        <f>HYPERLINK("https://cms.ls-nyc.org/matter/dynamic-profile/view/1880040","18-1880040")</f>
        <v>0</v>
      </c>
      <c r="B1022" t="s">
        <v>15</v>
      </c>
      <c r="C1022" t="s">
        <v>35</v>
      </c>
      <c r="D1022" t="s">
        <v>861</v>
      </c>
      <c r="E1022" t="s">
        <v>1809</v>
      </c>
      <c r="F1022" t="s">
        <v>1855</v>
      </c>
      <c r="H1022" t="s">
        <v>1863</v>
      </c>
      <c r="J1022" t="s">
        <v>1870</v>
      </c>
    </row>
    <row r="1023" spans="1:10">
      <c r="A1023" s="1">
        <f>HYPERLINK("https://cms.ls-nyc.org/matter/dynamic-profile/view/1880063","18-1880063")</f>
        <v>0</v>
      </c>
      <c r="B1023" t="s">
        <v>14</v>
      </c>
      <c r="C1023" t="s">
        <v>28</v>
      </c>
      <c r="D1023" t="s">
        <v>862</v>
      </c>
      <c r="E1023" t="s">
        <v>1823</v>
      </c>
      <c r="F1023" t="s">
        <v>1859</v>
      </c>
      <c r="H1023" t="s">
        <v>1863</v>
      </c>
      <c r="J1023" t="s">
        <v>1868</v>
      </c>
    </row>
    <row r="1024" spans="1:10">
      <c r="A1024" s="1">
        <f>HYPERLINK("https://cms.ls-nyc.org/matter/dynamic-profile/view/1880066","18-1880066")</f>
        <v>0</v>
      </c>
      <c r="B1024" t="s">
        <v>15</v>
      </c>
      <c r="C1024" t="s">
        <v>35</v>
      </c>
      <c r="D1024" t="s">
        <v>496</v>
      </c>
      <c r="E1024" t="s">
        <v>1809</v>
      </c>
      <c r="F1024" t="s">
        <v>1855</v>
      </c>
      <c r="H1024" t="s">
        <v>1863</v>
      </c>
      <c r="J1024" t="s">
        <v>1871</v>
      </c>
    </row>
    <row r="1025" spans="1:10">
      <c r="A1025" s="1">
        <f>HYPERLINK("https://cms.ls-nyc.org/matter/dynamic-profile/view/1880070","18-1880070")</f>
        <v>0</v>
      </c>
      <c r="B1025" t="s">
        <v>10</v>
      </c>
      <c r="C1025" t="s">
        <v>17</v>
      </c>
      <c r="D1025" t="s">
        <v>364</v>
      </c>
      <c r="E1025" t="s">
        <v>1815</v>
      </c>
      <c r="F1025" t="s">
        <v>1853</v>
      </c>
      <c r="H1025" t="s">
        <v>1863</v>
      </c>
      <c r="J1025" t="s">
        <v>1867</v>
      </c>
    </row>
    <row r="1026" spans="1:10">
      <c r="A1026" s="1">
        <f>HYPERLINK("https://cms.ls-nyc.org/matter/dynamic-profile/view/1879940","18-1879940")</f>
        <v>0</v>
      </c>
      <c r="B1026" t="s">
        <v>15</v>
      </c>
      <c r="C1026" t="s">
        <v>35</v>
      </c>
      <c r="D1026" t="s">
        <v>863</v>
      </c>
      <c r="E1026" t="s">
        <v>1809</v>
      </c>
      <c r="F1026" t="s">
        <v>1858</v>
      </c>
      <c r="H1026" t="s">
        <v>1863</v>
      </c>
      <c r="J1026" t="s">
        <v>1868</v>
      </c>
    </row>
    <row r="1027" spans="1:10">
      <c r="A1027" s="1">
        <f>HYPERLINK("https://cms.ls-nyc.org/matter/dynamic-profile/view/1879913","18-1879913")</f>
        <v>0</v>
      </c>
      <c r="B1027" t="s">
        <v>14</v>
      </c>
      <c r="C1027" t="s">
        <v>31</v>
      </c>
      <c r="D1027" t="s">
        <v>864</v>
      </c>
      <c r="E1027" t="s">
        <v>1800</v>
      </c>
      <c r="F1027" t="s">
        <v>1859</v>
      </c>
      <c r="H1027" t="s">
        <v>1863</v>
      </c>
      <c r="J1027" t="s">
        <v>1868</v>
      </c>
    </row>
    <row r="1028" spans="1:10">
      <c r="A1028" s="1">
        <f>HYPERLINK("https://cms.ls-nyc.org/matter/dynamic-profile/view/1879946","18-1879946")</f>
        <v>0</v>
      </c>
      <c r="B1028" t="s">
        <v>15</v>
      </c>
      <c r="C1028" t="s">
        <v>35</v>
      </c>
      <c r="D1028" t="s">
        <v>568</v>
      </c>
      <c r="E1028" t="s">
        <v>1809</v>
      </c>
      <c r="F1028" t="s">
        <v>1855</v>
      </c>
      <c r="H1028" t="s">
        <v>1863</v>
      </c>
      <c r="J1028" t="s">
        <v>1868</v>
      </c>
    </row>
    <row r="1029" spans="1:10">
      <c r="A1029" s="1">
        <f>HYPERLINK("https://cms.ls-nyc.org/matter/dynamic-profile/view/1879840","18-1879840")</f>
        <v>0</v>
      </c>
      <c r="B1029" t="s">
        <v>10</v>
      </c>
      <c r="C1029" t="s">
        <v>16</v>
      </c>
      <c r="D1029" t="s">
        <v>865</v>
      </c>
      <c r="E1029" t="s">
        <v>1816</v>
      </c>
      <c r="F1029" t="s">
        <v>1853</v>
      </c>
      <c r="H1029" t="s">
        <v>1863</v>
      </c>
      <c r="J1029" t="s">
        <v>1867</v>
      </c>
    </row>
    <row r="1030" spans="1:10">
      <c r="A1030" s="1">
        <f>HYPERLINK("https://cms.ls-nyc.org/matter/dynamic-profile/view/1879854","18-1879854")</f>
        <v>0</v>
      </c>
      <c r="B1030" t="s">
        <v>10</v>
      </c>
      <c r="C1030" t="s">
        <v>16</v>
      </c>
      <c r="D1030" t="s">
        <v>866</v>
      </c>
      <c r="E1030" t="s">
        <v>1816</v>
      </c>
      <c r="F1030" t="s">
        <v>1853</v>
      </c>
      <c r="H1030" t="s">
        <v>1863</v>
      </c>
      <c r="J1030" t="s">
        <v>1867</v>
      </c>
    </row>
    <row r="1031" spans="1:10">
      <c r="A1031" s="1">
        <f>HYPERLINK("https://cms.ls-nyc.org/matter/dynamic-profile/view/1879873","18-1879873")</f>
        <v>0</v>
      </c>
      <c r="B1031" t="s">
        <v>10</v>
      </c>
      <c r="C1031" t="s">
        <v>16</v>
      </c>
      <c r="D1031" t="s">
        <v>469</v>
      </c>
      <c r="E1031" t="s">
        <v>1816</v>
      </c>
      <c r="F1031" t="s">
        <v>1853</v>
      </c>
      <c r="H1031" t="s">
        <v>1863</v>
      </c>
      <c r="J1031" t="s">
        <v>1867</v>
      </c>
    </row>
    <row r="1032" spans="1:10">
      <c r="A1032" s="1">
        <f>HYPERLINK("https://cms.ls-nyc.org/matter/dynamic-profile/view/1879885","18-1879885")</f>
        <v>0</v>
      </c>
      <c r="B1032" t="s">
        <v>10</v>
      </c>
      <c r="C1032" t="s">
        <v>16</v>
      </c>
      <c r="D1032" t="s">
        <v>867</v>
      </c>
      <c r="E1032" t="s">
        <v>1816</v>
      </c>
      <c r="F1032" t="s">
        <v>1853</v>
      </c>
      <c r="H1032" t="s">
        <v>1863</v>
      </c>
      <c r="J1032" t="s">
        <v>1867</v>
      </c>
    </row>
    <row r="1033" spans="1:10">
      <c r="A1033" s="1">
        <f>HYPERLINK("https://cms.ls-nyc.org/matter/dynamic-profile/view/1879914","18-1879914")</f>
        <v>0</v>
      </c>
      <c r="B1033" t="s">
        <v>11</v>
      </c>
      <c r="C1033" t="s">
        <v>39</v>
      </c>
      <c r="D1033" t="s">
        <v>868</v>
      </c>
      <c r="G1033" t="s">
        <v>1861</v>
      </c>
      <c r="J1033" t="s">
        <v>1866</v>
      </c>
    </row>
    <row r="1034" spans="1:10">
      <c r="A1034" s="1">
        <f>HYPERLINK("https://cms.ls-nyc.org/matter/dynamic-profile/view/1879981","18-1879981")</f>
        <v>0</v>
      </c>
      <c r="B1034" t="s">
        <v>14</v>
      </c>
      <c r="C1034" t="s">
        <v>31</v>
      </c>
      <c r="D1034" t="s">
        <v>755</v>
      </c>
      <c r="E1034" t="s">
        <v>1842</v>
      </c>
      <c r="F1034" t="s">
        <v>1853</v>
      </c>
      <c r="H1034" t="s">
        <v>1863</v>
      </c>
      <c r="J1034" t="s">
        <v>1869</v>
      </c>
    </row>
    <row r="1035" spans="1:10">
      <c r="A1035" s="1">
        <f>HYPERLINK("https://cms.ls-nyc.org/matter/dynamic-profile/view/1879747","18-1879747")</f>
        <v>0</v>
      </c>
      <c r="B1035" t="s">
        <v>14</v>
      </c>
      <c r="C1035" t="s">
        <v>31</v>
      </c>
      <c r="D1035" t="s">
        <v>869</v>
      </c>
      <c r="E1035" t="s">
        <v>1819</v>
      </c>
      <c r="F1035" t="s">
        <v>1858</v>
      </c>
      <c r="G1035" t="s">
        <v>1861</v>
      </c>
      <c r="H1035" t="s">
        <v>1864</v>
      </c>
      <c r="J1035" t="s">
        <v>1868</v>
      </c>
    </row>
    <row r="1036" spans="1:10">
      <c r="A1036" s="1">
        <f>HYPERLINK("https://cms.ls-nyc.org/matter/dynamic-profile/view/1879766","18-1879766")</f>
        <v>0</v>
      </c>
      <c r="B1036" t="s">
        <v>10</v>
      </c>
      <c r="C1036" t="s">
        <v>16</v>
      </c>
      <c r="D1036" t="s">
        <v>198</v>
      </c>
      <c r="E1036" t="s">
        <v>1816</v>
      </c>
      <c r="F1036" t="s">
        <v>1853</v>
      </c>
      <c r="H1036" t="s">
        <v>1863</v>
      </c>
      <c r="J1036" t="s">
        <v>1867</v>
      </c>
    </row>
    <row r="1037" spans="1:10">
      <c r="A1037" s="1">
        <f>HYPERLINK("https://cms.ls-nyc.org/matter/dynamic-profile/view/1879785","18-1879785")</f>
        <v>0</v>
      </c>
      <c r="B1037" t="s">
        <v>10</v>
      </c>
      <c r="C1037" t="s">
        <v>16</v>
      </c>
      <c r="D1037" t="s">
        <v>870</v>
      </c>
      <c r="E1037" t="s">
        <v>1816</v>
      </c>
      <c r="F1037" t="s">
        <v>1853</v>
      </c>
      <c r="H1037" t="s">
        <v>1863</v>
      </c>
      <c r="I1037" t="s">
        <v>1865</v>
      </c>
      <c r="J1037" t="s">
        <v>1866</v>
      </c>
    </row>
    <row r="1038" spans="1:10">
      <c r="A1038" s="1">
        <f>HYPERLINK("https://cms.ls-nyc.org/matter/dynamic-profile/view/1879794","18-1879794")</f>
        <v>0</v>
      </c>
      <c r="B1038" t="s">
        <v>11</v>
      </c>
      <c r="C1038" t="s">
        <v>37</v>
      </c>
      <c r="D1038" t="s">
        <v>871</v>
      </c>
      <c r="E1038" t="s">
        <v>1800</v>
      </c>
      <c r="F1038" t="s">
        <v>1859</v>
      </c>
      <c r="H1038" t="s">
        <v>1863</v>
      </c>
      <c r="J1038" t="s">
        <v>1868</v>
      </c>
    </row>
    <row r="1039" spans="1:10">
      <c r="A1039" s="1">
        <f>HYPERLINK("https://cms.ls-nyc.org/matter/dynamic-profile/view/1879797","18-1879797")</f>
        <v>0</v>
      </c>
      <c r="B1039" t="s">
        <v>15</v>
      </c>
      <c r="C1039" t="s">
        <v>27</v>
      </c>
      <c r="D1039" t="s">
        <v>872</v>
      </c>
      <c r="E1039" t="s">
        <v>1825</v>
      </c>
      <c r="G1039" t="s">
        <v>1861</v>
      </c>
      <c r="J1039" t="s">
        <v>1867</v>
      </c>
    </row>
    <row r="1040" spans="1:10">
      <c r="A1040" s="1">
        <f>HYPERLINK("https://cms.ls-nyc.org/matter/dynamic-profile/view/1879798","18-1879798")</f>
        <v>0</v>
      </c>
      <c r="B1040" t="s">
        <v>15</v>
      </c>
      <c r="C1040" t="s">
        <v>27</v>
      </c>
      <c r="D1040" t="s">
        <v>873</v>
      </c>
      <c r="E1040" t="s">
        <v>1825</v>
      </c>
      <c r="G1040" t="s">
        <v>1861</v>
      </c>
      <c r="J1040" t="s">
        <v>1867</v>
      </c>
    </row>
    <row r="1041" spans="1:10">
      <c r="A1041" s="1">
        <f>HYPERLINK("https://cms.ls-nyc.org/matter/dynamic-profile/view/1879629","18-1879629")</f>
        <v>0</v>
      </c>
      <c r="B1041" t="s">
        <v>14</v>
      </c>
      <c r="C1041" t="s">
        <v>28</v>
      </c>
      <c r="D1041" t="s">
        <v>874</v>
      </c>
      <c r="E1041" t="s">
        <v>1815</v>
      </c>
      <c r="F1041" t="s">
        <v>1859</v>
      </c>
      <c r="G1041" t="s">
        <v>1861</v>
      </c>
      <c r="H1041" t="s">
        <v>1864</v>
      </c>
      <c r="J1041" t="s">
        <v>1868</v>
      </c>
    </row>
    <row r="1042" spans="1:10">
      <c r="A1042" s="1">
        <f>HYPERLINK("https://cms.ls-nyc.org/matter/dynamic-profile/view/1879310","18-1879310")</f>
        <v>0</v>
      </c>
      <c r="B1042" t="s">
        <v>12</v>
      </c>
      <c r="C1042" t="s">
        <v>21</v>
      </c>
      <c r="D1042" t="s">
        <v>875</v>
      </c>
      <c r="E1042" t="s">
        <v>1809</v>
      </c>
      <c r="F1042" t="s">
        <v>1858</v>
      </c>
      <c r="H1042" t="s">
        <v>1863</v>
      </c>
      <c r="J1042" t="s">
        <v>1868</v>
      </c>
    </row>
    <row r="1043" spans="1:10">
      <c r="A1043" s="1">
        <f>HYPERLINK("https://cms.ls-nyc.org/matter/dynamic-profile/view/1879618","18-1879618")</f>
        <v>0</v>
      </c>
      <c r="B1043" t="s">
        <v>10</v>
      </c>
      <c r="C1043" t="s">
        <v>16</v>
      </c>
      <c r="D1043" t="s">
        <v>876</v>
      </c>
      <c r="F1043" t="s">
        <v>1855</v>
      </c>
      <c r="H1043" t="s">
        <v>1863</v>
      </c>
      <c r="J1043" t="s">
        <v>1866</v>
      </c>
    </row>
    <row r="1044" spans="1:10">
      <c r="A1044" s="1">
        <f>HYPERLINK("https://cms.ls-nyc.org/matter/dynamic-profile/view/1879624","18-1879624")</f>
        <v>0</v>
      </c>
      <c r="B1044" t="s">
        <v>10</v>
      </c>
      <c r="C1044" t="s">
        <v>16</v>
      </c>
      <c r="D1044" t="s">
        <v>877</v>
      </c>
      <c r="E1044" t="s">
        <v>1816</v>
      </c>
      <c r="F1044" t="s">
        <v>1853</v>
      </c>
      <c r="H1044" t="s">
        <v>1863</v>
      </c>
      <c r="J1044" t="s">
        <v>1867</v>
      </c>
    </row>
    <row r="1045" spans="1:10">
      <c r="A1045" s="1">
        <f>HYPERLINK("https://cms.ls-nyc.org/matter/dynamic-profile/view/1879626","18-1879626")</f>
        <v>0</v>
      </c>
      <c r="B1045" t="s">
        <v>10</v>
      </c>
      <c r="C1045" t="s">
        <v>16</v>
      </c>
      <c r="D1045" t="s">
        <v>878</v>
      </c>
      <c r="E1045" t="s">
        <v>1810</v>
      </c>
      <c r="F1045" t="s">
        <v>1853</v>
      </c>
      <c r="H1045" t="s">
        <v>1863</v>
      </c>
      <c r="J1045" t="s">
        <v>1869</v>
      </c>
    </row>
    <row r="1046" spans="1:10">
      <c r="A1046" s="1">
        <f>HYPERLINK("https://cms.ls-nyc.org/matter/dynamic-profile/view/1879656","18-1879656")</f>
        <v>0</v>
      </c>
      <c r="B1046" t="s">
        <v>14</v>
      </c>
      <c r="C1046" t="s">
        <v>31</v>
      </c>
      <c r="D1046" t="s">
        <v>879</v>
      </c>
      <c r="E1046" t="s">
        <v>1821</v>
      </c>
      <c r="F1046" t="s">
        <v>1853</v>
      </c>
      <c r="H1046" t="s">
        <v>1863</v>
      </c>
      <c r="J1046" t="s">
        <v>1867</v>
      </c>
    </row>
    <row r="1047" spans="1:10">
      <c r="A1047" s="1">
        <f>HYPERLINK("https://cms.ls-nyc.org/matter/dynamic-profile/view/1879679","18-1879679")</f>
        <v>0</v>
      </c>
      <c r="B1047" t="s">
        <v>12</v>
      </c>
      <c r="C1047" t="s">
        <v>21</v>
      </c>
      <c r="D1047" t="s">
        <v>735</v>
      </c>
      <c r="E1047" t="s">
        <v>1816</v>
      </c>
      <c r="F1047" t="s">
        <v>1853</v>
      </c>
      <c r="H1047" t="s">
        <v>1863</v>
      </c>
      <c r="J1047" t="s">
        <v>1867</v>
      </c>
    </row>
    <row r="1048" spans="1:10">
      <c r="A1048" s="1">
        <f>HYPERLINK("https://cms.ls-nyc.org/matter/dynamic-profile/view/1879685","18-1879685")</f>
        <v>0</v>
      </c>
      <c r="B1048" t="s">
        <v>12</v>
      </c>
      <c r="C1048" t="s">
        <v>33</v>
      </c>
      <c r="D1048" t="s">
        <v>880</v>
      </c>
      <c r="E1048" t="s">
        <v>1816</v>
      </c>
      <c r="F1048" t="s">
        <v>1853</v>
      </c>
      <c r="H1048" t="s">
        <v>1863</v>
      </c>
      <c r="J1048" t="s">
        <v>1867</v>
      </c>
    </row>
    <row r="1049" spans="1:10">
      <c r="A1049" s="1">
        <f>HYPERLINK("https://cms.ls-nyc.org/matter/dynamic-profile/view/1879573","18-1879573")</f>
        <v>0</v>
      </c>
      <c r="B1049" t="s">
        <v>15</v>
      </c>
      <c r="C1049" t="s">
        <v>35</v>
      </c>
      <c r="D1049" t="s">
        <v>881</v>
      </c>
      <c r="F1049" t="s">
        <v>1858</v>
      </c>
      <c r="G1049" t="s">
        <v>1861</v>
      </c>
      <c r="H1049" t="s">
        <v>1863</v>
      </c>
      <c r="J1049" t="s">
        <v>1868</v>
      </c>
    </row>
    <row r="1050" spans="1:10">
      <c r="A1050" s="1">
        <f>HYPERLINK("https://cms.ls-nyc.org/matter/dynamic-profile/view/1879483","18-1879483")</f>
        <v>0</v>
      </c>
      <c r="B1050" t="s">
        <v>10</v>
      </c>
      <c r="C1050" t="s">
        <v>17</v>
      </c>
      <c r="D1050" t="s">
        <v>882</v>
      </c>
      <c r="E1050" t="s">
        <v>1815</v>
      </c>
      <c r="F1050" t="s">
        <v>1853</v>
      </c>
      <c r="H1050" t="s">
        <v>1863</v>
      </c>
      <c r="J1050" t="s">
        <v>1867</v>
      </c>
    </row>
    <row r="1051" spans="1:10">
      <c r="A1051" s="1">
        <f>HYPERLINK("https://cms.ls-nyc.org/matter/dynamic-profile/view/1879493","18-1879493")</f>
        <v>0</v>
      </c>
      <c r="B1051" t="s">
        <v>10</v>
      </c>
      <c r="C1051" t="s">
        <v>17</v>
      </c>
      <c r="D1051" t="s">
        <v>381</v>
      </c>
      <c r="E1051" t="s">
        <v>1815</v>
      </c>
      <c r="F1051" t="s">
        <v>1853</v>
      </c>
      <c r="H1051" t="s">
        <v>1863</v>
      </c>
      <c r="J1051" t="s">
        <v>1869</v>
      </c>
    </row>
    <row r="1052" spans="1:10">
      <c r="A1052" s="1">
        <f>HYPERLINK("https://cms.ls-nyc.org/matter/dynamic-profile/view/1879499","18-1879499")</f>
        <v>0</v>
      </c>
      <c r="B1052" t="s">
        <v>12</v>
      </c>
      <c r="C1052" t="s">
        <v>40</v>
      </c>
      <c r="D1052" t="s">
        <v>883</v>
      </c>
      <c r="E1052" t="s">
        <v>1815</v>
      </c>
      <c r="F1052" t="s">
        <v>1856</v>
      </c>
      <c r="G1052" t="s">
        <v>1861</v>
      </c>
      <c r="J1052" t="s">
        <v>1866</v>
      </c>
    </row>
    <row r="1053" spans="1:10">
      <c r="A1053" s="1">
        <f>HYPERLINK("https://cms.ls-nyc.org/matter/dynamic-profile/view/1879554","18-1879554")</f>
        <v>0</v>
      </c>
      <c r="B1053" t="s">
        <v>11</v>
      </c>
      <c r="C1053" t="s">
        <v>18</v>
      </c>
      <c r="D1053" t="s">
        <v>579</v>
      </c>
      <c r="E1053" t="s">
        <v>1809</v>
      </c>
      <c r="F1053" t="s">
        <v>1855</v>
      </c>
      <c r="H1053" t="s">
        <v>1863</v>
      </c>
      <c r="J1053" t="s">
        <v>1870</v>
      </c>
    </row>
    <row r="1054" spans="1:10">
      <c r="A1054" s="1">
        <f>HYPERLINK("https://cms.ls-nyc.org/matter/dynamic-profile/view/1879558","18-1879558")</f>
        <v>0</v>
      </c>
      <c r="B1054" t="s">
        <v>11</v>
      </c>
      <c r="C1054" t="s">
        <v>32</v>
      </c>
      <c r="D1054" t="s">
        <v>884</v>
      </c>
      <c r="E1054" t="s">
        <v>1810</v>
      </c>
      <c r="F1054" t="s">
        <v>1856</v>
      </c>
      <c r="H1054" t="s">
        <v>1863</v>
      </c>
      <c r="J1054" t="s">
        <v>1866</v>
      </c>
    </row>
    <row r="1055" spans="1:10">
      <c r="A1055" s="1">
        <f>HYPERLINK("https://cms.ls-nyc.org/matter/dynamic-profile/view/1879559","18-1879559")</f>
        <v>0</v>
      </c>
      <c r="B1055" t="s">
        <v>10</v>
      </c>
      <c r="C1055" t="s">
        <v>16</v>
      </c>
      <c r="D1055" t="s">
        <v>885</v>
      </c>
      <c r="E1055" t="s">
        <v>1815</v>
      </c>
      <c r="F1055" t="s">
        <v>1853</v>
      </c>
      <c r="H1055" t="s">
        <v>1863</v>
      </c>
      <c r="J1055" t="s">
        <v>1867</v>
      </c>
    </row>
    <row r="1056" spans="1:10">
      <c r="A1056" s="1">
        <f>HYPERLINK("https://cms.ls-nyc.org/matter/dynamic-profile/view/1879575","18-1879575")</f>
        <v>0</v>
      </c>
      <c r="B1056" t="s">
        <v>12</v>
      </c>
      <c r="C1056" t="s">
        <v>20</v>
      </c>
      <c r="D1056" t="s">
        <v>886</v>
      </c>
      <c r="E1056" t="s">
        <v>1809</v>
      </c>
      <c r="F1056" t="s">
        <v>1855</v>
      </c>
      <c r="H1056" t="s">
        <v>1863</v>
      </c>
      <c r="J1056" t="s">
        <v>1871</v>
      </c>
    </row>
    <row r="1057" spans="1:10">
      <c r="A1057" s="1">
        <f>HYPERLINK("https://cms.ls-nyc.org/matter/dynamic-profile/view/1879394","18-1879394")</f>
        <v>0</v>
      </c>
      <c r="B1057" t="s">
        <v>12</v>
      </c>
      <c r="C1057" t="s">
        <v>21</v>
      </c>
      <c r="D1057" t="s">
        <v>738</v>
      </c>
      <c r="E1057" t="s">
        <v>1816</v>
      </c>
      <c r="F1057" t="s">
        <v>1853</v>
      </c>
      <c r="H1057" t="s">
        <v>1863</v>
      </c>
      <c r="J1057" t="s">
        <v>1867</v>
      </c>
    </row>
    <row r="1058" spans="1:10">
      <c r="A1058" s="1">
        <f>HYPERLINK("https://cms.ls-nyc.org/matter/dynamic-profile/view/1879319","18-1879319")</f>
        <v>0</v>
      </c>
      <c r="B1058" t="s">
        <v>10</v>
      </c>
      <c r="C1058" t="s">
        <v>17</v>
      </c>
      <c r="D1058" t="s">
        <v>887</v>
      </c>
      <c r="E1058" t="s">
        <v>1815</v>
      </c>
      <c r="F1058" t="s">
        <v>1853</v>
      </c>
      <c r="H1058" t="s">
        <v>1863</v>
      </c>
      <c r="J1058" t="s">
        <v>1867</v>
      </c>
    </row>
    <row r="1059" spans="1:10">
      <c r="A1059" s="1">
        <f>HYPERLINK("https://cms.ls-nyc.org/matter/dynamic-profile/view/1879365","18-1879365")</f>
        <v>0</v>
      </c>
      <c r="B1059" t="s">
        <v>14</v>
      </c>
      <c r="C1059" t="s">
        <v>31</v>
      </c>
      <c r="D1059" t="s">
        <v>888</v>
      </c>
      <c r="E1059" t="s">
        <v>1799</v>
      </c>
      <c r="F1059" t="s">
        <v>1853</v>
      </c>
      <c r="H1059" t="s">
        <v>1863</v>
      </c>
      <c r="J1059" t="s">
        <v>1867</v>
      </c>
    </row>
    <row r="1060" spans="1:10">
      <c r="A1060" s="1">
        <f>HYPERLINK("https://cms.ls-nyc.org/matter/dynamic-profile/view/1879370","18-1879370")</f>
        <v>0</v>
      </c>
      <c r="B1060" t="s">
        <v>10</v>
      </c>
      <c r="C1060" t="s">
        <v>16</v>
      </c>
      <c r="D1060" t="s">
        <v>889</v>
      </c>
      <c r="E1060" t="s">
        <v>1816</v>
      </c>
      <c r="F1060" t="s">
        <v>1853</v>
      </c>
      <c r="H1060" t="s">
        <v>1863</v>
      </c>
      <c r="J1060" t="s">
        <v>1867</v>
      </c>
    </row>
    <row r="1061" spans="1:10">
      <c r="A1061" s="1">
        <f>HYPERLINK("https://cms.ls-nyc.org/matter/dynamic-profile/view/1879373","18-1879373")</f>
        <v>0</v>
      </c>
      <c r="B1061" t="s">
        <v>12</v>
      </c>
      <c r="C1061" t="s">
        <v>33</v>
      </c>
      <c r="D1061" t="s">
        <v>890</v>
      </c>
      <c r="E1061" t="s">
        <v>1815</v>
      </c>
      <c r="F1061" t="s">
        <v>1853</v>
      </c>
      <c r="H1061" t="s">
        <v>1863</v>
      </c>
      <c r="J1061" t="s">
        <v>1869</v>
      </c>
    </row>
    <row r="1062" spans="1:10">
      <c r="A1062" s="1">
        <f>HYPERLINK("https://cms.ls-nyc.org/matter/dynamic-profile/view/1879378","18-1879378")</f>
        <v>0</v>
      </c>
      <c r="B1062" t="s">
        <v>12</v>
      </c>
      <c r="C1062" t="s">
        <v>33</v>
      </c>
      <c r="D1062" t="s">
        <v>891</v>
      </c>
      <c r="E1062" t="s">
        <v>1816</v>
      </c>
      <c r="F1062" t="s">
        <v>1853</v>
      </c>
      <c r="H1062" t="s">
        <v>1863</v>
      </c>
      <c r="J1062" t="s">
        <v>1867</v>
      </c>
    </row>
    <row r="1063" spans="1:10">
      <c r="A1063" s="1">
        <f>HYPERLINK("https://cms.ls-nyc.org/matter/dynamic-profile/view/1879401","18-1879401")</f>
        <v>0</v>
      </c>
      <c r="B1063" t="s">
        <v>10</v>
      </c>
      <c r="C1063" t="s">
        <v>16</v>
      </c>
      <c r="D1063" t="s">
        <v>892</v>
      </c>
      <c r="E1063" t="s">
        <v>1815</v>
      </c>
      <c r="F1063" t="s">
        <v>1853</v>
      </c>
      <c r="H1063" t="s">
        <v>1863</v>
      </c>
      <c r="J1063" t="s">
        <v>1867</v>
      </c>
    </row>
    <row r="1064" spans="1:10">
      <c r="A1064" s="1">
        <f>HYPERLINK("https://cms.ls-nyc.org/matter/dynamic-profile/view/1879429","18-1879429")</f>
        <v>0</v>
      </c>
      <c r="B1064" t="s">
        <v>10</v>
      </c>
      <c r="C1064" t="s">
        <v>17</v>
      </c>
      <c r="D1064" t="s">
        <v>893</v>
      </c>
      <c r="E1064" t="s">
        <v>1814</v>
      </c>
      <c r="F1064" t="s">
        <v>1853</v>
      </c>
      <c r="H1064" t="s">
        <v>1863</v>
      </c>
      <c r="J1064" t="s">
        <v>1869</v>
      </c>
    </row>
    <row r="1065" spans="1:10">
      <c r="A1065" s="1">
        <f>HYPERLINK("https://cms.ls-nyc.org/matter/dynamic-profile/view/1879123","18-1879123")</f>
        <v>0</v>
      </c>
      <c r="B1065" t="s">
        <v>14</v>
      </c>
      <c r="C1065" t="s">
        <v>31</v>
      </c>
      <c r="D1065" t="s">
        <v>894</v>
      </c>
      <c r="E1065" t="s">
        <v>1800</v>
      </c>
      <c r="F1065" t="s">
        <v>1853</v>
      </c>
      <c r="H1065" t="s">
        <v>1863</v>
      </c>
      <c r="J1065" t="s">
        <v>1867</v>
      </c>
    </row>
    <row r="1066" spans="1:10">
      <c r="A1066" s="1">
        <f>HYPERLINK("https://cms.ls-nyc.org/matter/dynamic-profile/view/1879188","18-1879188")</f>
        <v>0</v>
      </c>
      <c r="B1066" t="s">
        <v>12</v>
      </c>
      <c r="C1066" t="s">
        <v>20</v>
      </c>
      <c r="D1066" t="s">
        <v>895</v>
      </c>
      <c r="E1066" t="s">
        <v>1803</v>
      </c>
      <c r="F1066" t="s">
        <v>1855</v>
      </c>
      <c r="H1066" t="s">
        <v>1863</v>
      </c>
      <c r="J1066" t="s">
        <v>1868</v>
      </c>
    </row>
    <row r="1067" spans="1:10">
      <c r="A1067" s="1">
        <f>HYPERLINK("https://cms.ls-nyc.org/matter/dynamic-profile/view/1879249","18-1879249")</f>
        <v>0</v>
      </c>
      <c r="B1067" t="s">
        <v>10</v>
      </c>
      <c r="C1067" t="s">
        <v>17</v>
      </c>
      <c r="D1067" t="s">
        <v>896</v>
      </c>
      <c r="E1067" t="s">
        <v>1815</v>
      </c>
      <c r="F1067" t="s">
        <v>1853</v>
      </c>
      <c r="H1067" t="s">
        <v>1863</v>
      </c>
      <c r="J1067" t="s">
        <v>1867</v>
      </c>
    </row>
    <row r="1068" spans="1:10">
      <c r="A1068" s="1">
        <f>HYPERLINK("https://cms.ls-nyc.org/matter/dynamic-profile/view/1879065","18-1879065")</f>
        <v>0</v>
      </c>
      <c r="B1068" t="s">
        <v>10</v>
      </c>
      <c r="C1068" t="s">
        <v>30</v>
      </c>
      <c r="D1068" t="s">
        <v>897</v>
      </c>
      <c r="E1068" t="s">
        <v>1815</v>
      </c>
      <c r="F1068" t="s">
        <v>1858</v>
      </c>
      <c r="H1068" t="s">
        <v>1863</v>
      </c>
      <c r="J1068" t="s">
        <v>1868</v>
      </c>
    </row>
    <row r="1069" spans="1:10">
      <c r="A1069" s="1">
        <f>HYPERLINK("https://cms.ls-nyc.org/matter/dynamic-profile/view/1878944","18-1878944")</f>
        <v>0</v>
      </c>
      <c r="B1069" t="s">
        <v>12</v>
      </c>
      <c r="C1069" t="s">
        <v>20</v>
      </c>
      <c r="D1069" t="s">
        <v>898</v>
      </c>
      <c r="E1069" t="s">
        <v>1805</v>
      </c>
      <c r="F1069" t="s">
        <v>1853</v>
      </c>
      <c r="H1069" t="s">
        <v>1863</v>
      </c>
      <c r="J1069" t="s">
        <v>1869</v>
      </c>
    </row>
    <row r="1070" spans="1:10">
      <c r="A1070" s="1">
        <f>HYPERLINK("https://cms.ls-nyc.org/matter/dynamic-profile/view/1879095","18-1879095")</f>
        <v>0</v>
      </c>
      <c r="B1070" t="s">
        <v>12</v>
      </c>
      <c r="C1070" t="s">
        <v>20</v>
      </c>
      <c r="D1070" t="s">
        <v>899</v>
      </c>
      <c r="E1070" t="s">
        <v>1805</v>
      </c>
      <c r="F1070" t="s">
        <v>1853</v>
      </c>
      <c r="H1070" t="s">
        <v>1863</v>
      </c>
      <c r="J1070" t="s">
        <v>1869</v>
      </c>
    </row>
    <row r="1071" spans="1:10">
      <c r="A1071" s="1">
        <f>HYPERLINK("https://cms.ls-nyc.org/matter/dynamic-profile/view/1878864","18-1878864")</f>
        <v>0</v>
      </c>
      <c r="B1071" t="s">
        <v>14</v>
      </c>
      <c r="C1071" t="s">
        <v>28</v>
      </c>
      <c r="D1071" t="s">
        <v>900</v>
      </c>
      <c r="E1071" t="s">
        <v>1812</v>
      </c>
      <c r="F1071" t="s">
        <v>1859</v>
      </c>
      <c r="H1071" t="s">
        <v>1863</v>
      </c>
      <c r="J1071" t="s">
        <v>1868</v>
      </c>
    </row>
    <row r="1072" spans="1:10">
      <c r="A1072" s="1">
        <f>HYPERLINK("https://cms.ls-nyc.org/matter/dynamic-profile/view/1878889","18-1878889")</f>
        <v>0</v>
      </c>
      <c r="B1072" t="s">
        <v>12</v>
      </c>
      <c r="C1072" t="s">
        <v>40</v>
      </c>
      <c r="D1072" t="s">
        <v>901</v>
      </c>
      <c r="E1072" t="s">
        <v>1804</v>
      </c>
      <c r="F1072" t="s">
        <v>1853</v>
      </c>
      <c r="H1072" t="s">
        <v>1863</v>
      </c>
      <c r="J1072" t="s">
        <v>1868</v>
      </c>
    </row>
    <row r="1073" spans="1:10">
      <c r="A1073" s="1">
        <f>HYPERLINK("https://cms.ls-nyc.org/matter/dynamic-profile/view/1878971","18-1878971")</f>
        <v>0</v>
      </c>
      <c r="B1073" t="s">
        <v>14</v>
      </c>
      <c r="C1073" t="s">
        <v>31</v>
      </c>
      <c r="D1073" t="s">
        <v>888</v>
      </c>
      <c r="E1073" t="s">
        <v>1815</v>
      </c>
      <c r="F1073" t="s">
        <v>1858</v>
      </c>
      <c r="H1073" t="s">
        <v>1863</v>
      </c>
      <c r="J1073" t="s">
        <v>1868</v>
      </c>
    </row>
    <row r="1074" spans="1:10">
      <c r="A1074" s="1">
        <f>HYPERLINK("https://cms.ls-nyc.org/matter/dynamic-profile/view/1878962","18-1878962")</f>
        <v>0</v>
      </c>
      <c r="B1074" t="s">
        <v>10</v>
      </c>
      <c r="C1074" t="s">
        <v>16</v>
      </c>
      <c r="D1074" t="s">
        <v>902</v>
      </c>
      <c r="E1074" t="s">
        <v>1815</v>
      </c>
      <c r="F1074" t="s">
        <v>1858</v>
      </c>
      <c r="H1074" t="s">
        <v>1863</v>
      </c>
      <c r="J1074" t="s">
        <v>1868</v>
      </c>
    </row>
    <row r="1075" spans="1:10">
      <c r="A1075" s="1">
        <f>HYPERLINK("https://cms.ls-nyc.org/matter/dynamic-profile/view/1878964","18-1878964")</f>
        <v>0</v>
      </c>
      <c r="B1075" t="s">
        <v>14</v>
      </c>
      <c r="C1075" t="s">
        <v>28</v>
      </c>
      <c r="D1075" t="s">
        <v>903</v>
      </c>
      <c r="E1075" t="s">
        <v>1804</v>
      </c>
      <c r="F1075" t="s">
        <v>1853</v>
      </c>
      <c r="H1075" t="s">
        <v>1863</v>
      </c>
      <c r="J1075" t="s">
        <v>1867</v>
      </c>
    </row>
    <row r="1076" spans="1:10">
      <c r="A1076" s="1">
        <f>HYPERLINK("https://cms.ls-nyc.org/matter/dynamic-profile/view/1870827","18-1870827")</f>
        <v>0</v>
      </c>
      <c r="B1076" t="s">
        <v>10</v>
      </c>
      <c r="C1076" t="s">
        <v>20</v>
      </c>
      <c r="D1076" t="s">
        <v>904</v>
      </c>
      <c r="E1076" t="s">
        <v>1807</v>
      </c>
      <c r="F1076" t="s">
        <v>1858</v>
      </c>
      <c r="H1076" t="s">
        <v>1863</v>
      </c>
      <c r="J1076" t="s">
        <v>1868</v>
      </c>
    </row>
    <row r="1077" spans="1:10">
      <c r="A1077" s="1">
        <f>HYPERLINK("https://cms.ls-nyc.org/matter/dynamic-profile/view/1878878","18-1878878")</f>
        <v>0</v>
      </c>
      <c r="B1077" t="s">
        <v>14</v>
      </c>
      <c r="C1077" t="s">
        <v>28</v>
      </c>
      <c r="D1077" t="s">
        <v>900</v>
      </c>
      <c r="E1077" t="s">
        <v>1822</v>
      </c>
      <c r="F1077" t="s">
        <v>1853</v>
      </c>
      <c r="H1077" t="s">
        <v>1863</v>
      </c>
      <c r="J1077" t="s">
        <v>1867</v>
      </c>
    </row>
    <row r="1078" spans="1:10">
      <c r="A1078" s="1">
        <f>HYPERLINK("https://cms.ls-nyc.org/matter/dynamic-profile/view/1878906","18-1878906")</f>
        <v>0</v>
      </c>
      <c r="B1078" t="s">
        <v>10</v>
      </c>
      <c r="C1078" t="s">
        <v>16</v>
      </c>
      <c r="D1078" t="s">
        <v>905</v>
      </c>
      <c r="E1078" t="s">
        <v>1807</v>
      </c>
      <c r="F1078" t="s">
        <v>1853</v>
      </c>
      <c r="H1078" t="s">
        <v>1863</v>
      </c>
      <c r="J1078" t="s">
        <v>1869</v>
      </c>
    </row>
    <row r="1079" spans="1:10">
      <c r="A1079" s="1">
        <f>HYPERLINK("https://cms.ls-nyc.org/matter/dynamic-profile/view/1878932","18-1878932")</f>
        <v>0</v>
      </c>
      <c r="B1079" t="s">
        <v>11</v>
      </c>
      <c r="C1079" t="s">
        <v>38</v>
      </c>
      <c r="D1079" t="s">
        <v>906</v>
      </c>
      <c r="E1079" t="s">
        <v>1816</v>
      </c>
      <c r="F1079" t="s">
        <v>1853</v>
      </c>
      <c r="H1079" t="s">
        <v>1863</v>
      </c>
      <c r="J1079" t="s">
        <v>1869</v>
      </c>
    </row>
    <row r="1080" spans="1:10">
      <c r="A1080" s="1">
        <f>HYPERLINK("https://cms.ls-nyc.org/matter/dynamic-profile/view/1879226","18-1879226")</f>
        <v>0</v>
      </c>
      <c r="B1080" t="s">
        <v>13</v>
      </c>
      <c r="C1080" t="s">
        <v>43</v>
      </c>
      <c r="D1080" t="s">
        <v>907</v>
      </c>
      <c r="E1080" t="s">
        <v>1809</v>
      </c>
      <c r="F1080" t="s">
        <v>1855</v>
      </c>
      <c r="H1080" t="s">
        <v>1863</v>
      </c>
      <c r="J1080" t="s">
        <v>1870</v>
      </c>
    </row>
    <row r="1081" spans="1:10">
      <c r="A1081" s="1">
        <f>HYPERLINK("https://cms.ls-nyc.org/matter/dynamic-profile/view/1878842","18-1878842")</f>
        <v>0</v>
      </c>
      <c r="B1081" t="s">
        <v>15</v>
      </c>
      <c r="C1081" t="s">
        <v>35</v>
      </c>
      <c r="D1081" t="s">
        <v>908</v>
      </c>
      <c r="F1081" t="s">
        <v>1858</v>
      </c>
      <c r="H1081" t="s">
        <v>1863</v>
      </c>
      <c r="J1081" t="s">
        <v>1868</v>
      </c>
    </row>
    <row r="1082" spans="1:10">
      <c r="A1082" s="1">
        <f>HYPERLINK("https://cms.ls-nyc.org/matter/dynamic-profile/view/1876917","18-1876917")</f>
        <v>0</v>
      </c>
      <c r="B1082" t="s">
        <v>13</v>
      </c>
      <c r="C1082" t="s">
        <v>43</v>
      </c>
      <c r="D1082" t="s">
        <v>909</v>
      </c>
      <c r="E1082" t="s">
        <v>1803</v>
      </c>
      <c r="F1082" t="s">
        <v>1855</v>
      </c>
      <c r="H1082" t="s">
        <v>1863</v>
      </c>
      <c r="J1082" t="s">
        <v>1871</v>
      </c>
    </row>
    <row r="1083" spans="1:10">
      <c r="A1083" s="1">
        <f>HYPERLINK("https://cms.ls-nyc.org/matter/dynamic-profile/view/1877676","18-1877676")</f>
        <v>0</v>
      </c>
      <c r="B1083" t="s">
        <v>13</v>
      </c>
      <c r="C1083" t="s">
        <v>29</v>
      </c>
      <c r="D1083" t="s">
        <v>910</v>
      </c>
      <c r="E1083" t="s">
        <v>1803</v>
      </c>
      <c r="F1083" t="s">
        <v>1855</v>
      </c>
      <c r="H1083" t="s">
        <v>1863</v>
      </c>
      <c r="J1083" t="s">
        <v>1870</v>
      </c>
    </row>
    <row r="1084" spans="1:10">
      <c r="A1084" s="1">
        <f>HYPERLINK("https://cms.ls-nyc.org/matter/dynamic-profile/view/1878758","18-1878758")</f>
        <v>0</v>
      </c>
      <c r="B1084" t="s">
        <v>12</v>
      </c>
      <c r="C1084" t="s">
        <v>33</v>
      </c>
      <c r="D1084" t="s">
        <v>911</v>
      </c>
      <c r="E1084" t="s">
        <v>1807</v>
      </c>
      <c r="F1084" t="s">
        <v>1853</v>
      </c>
      <c r="H1084" t="s">
        <v>1863</v>
      </c>
      <c r="J1084" t="s">
        <v>1869</v>
      </c>
    </row>
    <row r="1085" spans="1:10">
      <c r="A1085" s="1">
        <f>HYPERLINK("https://cms.ls-nyc.org/matter/dynamic-profile/view/1878765","18-1878765")</f>
        <v>0</v>
      </c>
      <c r="B1085" t="s">
        <v>12</v>
      </c>
      <c r="C1085" t="s">
        <v>40</v>
      </c>
      <c r="D1085" t="s">
        <v>912</v>
      </c>
      <c r="E1085" t="s">
        <v>1804</v>
      </c>
      <c r="F1085" t="s">
        <v>1853</v>
      </c>
      <c r="H1085" t="s">
        <v>1863</v>
      </c>
      <c r="J1085" t="s">
        <v>1867</v>
      </c>
    </row>
    <row r="1086" spans="1:10">
      <c r="A1086" s="1">
        <f>HYPERLINK("https://cms.ls-nyc.org/matter/dynamic-profile/view/1878773","18-1878773")</f>
        <v>0</v>
      </c>
      <c r="B1086" t="s">
        <v>10</v>
      </c>
      <c r="C1086" t="s">
        <v>16</v>
      </c>
      <c r="D1086" t="s">
        <v>913</v>
      </c>
      <c r="E1086" t="s">
        <v>1807</v>
      </c>
      <c r="F1086" t="s">
        <v>1853</v>
      </c>
      <c r="H1086" t="s">
        <v>1863</v>
      </c>
      <c r="J1086" t="s">
        <v>1869</v>
      </c>
    </row>
    <row r="1087" spans="1:10">
      <c r="A1087" s="1">
        <f>HYPERLINK("https://cms.ls-nyc.org/matter/dynamic-profile/view/1878774","18-1878774")</f>
        <v>0</v>
      </c>
      <c r="B1087" t="s">
        <v>12</v>
      </c>
      <c r="C1087" t="s">
        <v>33</v>
      </c>
      <c r="D1087" t="s">
        <v>914</v>
      </c>
      <c r="E1087" t="s">
        <v>1829</v>
      </c>
      <c r="F1087" t="s">
        <v>1853</v>
      </c>
      <c r="H1087" t="s">
        <v>1863</v>
      </c>
      <c r="J1087" t="s">
        <v>1867</v>
      </c>
    </row>
    <row r="1088" spans="1:10">
      <c r="A1088" s="1">
        <f>HYPERLINK("https://cms.ls-nyc.org/matter/dynamic-profile/view/1878695","18-1878695")</f>
        <v>0</v>
      </c>
      <c r="B1088" t="s">
        <v>14</v>
      </c>
      <c r="C1088" t="s">
        <v>42</v>
      </c>
      <c r="D1088" t="s">
        <v>915</v>
      </c>
      <c r="E1088" t="s">
        <v>1804</v>
      </c>
      <c r="F1088" t="s">
        <v>1859</v>
      </c>
      <c r="H1088" t="s">
        <v>1863</v>
      </c>
      <c r="J1088" t="s">
        <v>1868</v>
      </c>
    </row>
    <row r="1089" spans="1:10">
      <c r="A1089" s="1">
        <f>HYPERLINK("https://cms.ls-nyc.org/matter/dynamic-profile/view/1878731","18-1878731")</f>
        <v>0</v>
      </c>
      <c r="B1089" t="s">
        <v>14</v>
      </c>
      <c r="C1089" t="s">
        <v>42</v>
      </c>
      <c r="D1089" t="s">
        <v>915</v>
      </c>
      <c r="E1089" t="s">
        <v>1799</v>
      </c>
      <c r="F1089" t="s">
        <v>1859</v>
      </c>
      <c r="H1089" t="s">
        <v>1863</v>
      </c>
      <c r="J1089" t="s">
        <v>1868</v>
      </c>
    </row>
    <row r="1090" spans="1:10">
      <c r="A1090" s="1">
        <f>HYPERLINK("https://cms.ls-nyc.org/matter/dynamic-profile/view/1878579","18-1878579")</f>
        <v>0</v>
      </c>
      <c r="B1090" t="s">
        <v>15</v>
      </c>
      <c r="C1090" t="s">
        <v>34</v>
      </c>
      <c r="D1090" t="s">
        <v>916</v>
      </c>
      <c r="E1090" t="s">
        <v>1808</v>
      </c>
      <c r="F1090" t="s">
        <v>1857</v>
      </c>
      <c r="H1090" t="s">
        <v>1863</v>
      </c>
      <c r="J1090" t="s">
        <v>1867</v>
      </c>
    </row>
    <row r="1091" spans="1:10">
      <c r="A1091" s="1">
        <f>HYPERLINK("https://cms.ls-nyc.org/matter/dynamic-profile/view/1878580","18-1878580")</f>
        <v>0</v>
      </c>
      <c r="B1091" t="s">
        <v>15</v>
      </c>
      <c r="C1091" t="s">
        <v>34</v>
      </c>
      <c r="D1091" t="s">
        <v>916</v>
      </c>
      <c r="E1091" t="s">
        <v>1808</v>
      </c>
      <c r="F1091" t="s">
        <v>1857</v>
      </c>
      <c r="H1091" t="s">
        <v>1863</v>
      </c>
      <c r="J1091" t="s">
        <v>1867</v>
      </c>
    </row>
    <row r="1092" spans="1:10">
      <c r="A1092" s="1">
        <f>HYPERLINK("https://cms.ls-nyc.org/matter/dynamic-profile/view/1878581","18-1878581")</f>
        <v>0</v>
      </c>
      <c r="B1092" t="s">
        <v>15</v>
      </c>
      <c r="C1092" t="s">
        <v>34</v>
      </c>
      <c r="D1092" t="s">
        <v>262</v>
      </c>
      <c r="E1092" t="s">
        <v>1809</v>
      </c>
      <c r="F1092" t="s">
        <v>1855</v>
      </c>
      <c r="H1092" t="s">
        <v>1863</v>
      </c>
      <c r="J1092" t="s">
        <v>1870</v>
      </c>
    </row>
    <row r="1093" spans="1:10">
      <c r="A1093" s="1">
        <f>HYPERLINK("https://cms.ls-nyc.org/matter/dynamic-profile/view/1878582","18-1878582")</f>
        <v>0</v>
      </c>
      <c r="B1093" t="s">
        <v>15</v>
      </c>
      <c r="C1093" t="s">
        <v>34</v>
      </c>
      <c r="D1093" t="s">
        <v>261</v>
      </c>
      <c r="E1093" t="s">
        <v>1809</v>
      </c>
      <c r="F1093" t="s">
        <v>1855</v>
      </c>
      <c r="H1093" t="s">
        <v>1863</v>
      </c>
      <c r="J1093" t="s">
        <v>1870</v>
      </c>
    </row>
    <row r="1094" spans="1:10">
      <c r="A1094" s="1">
        <f>HYPERLINK("https://cms.ls-nyc.org/matter/dynamic-profile/view/1878711","18-1878711")</f>
        <v>0</v>
      </c>
      <c r="B1094" t="s">
        <v>10</v>
      </c>
      <c r="C1094" t="s">
        <v>17</v>
      </c>
      <c r="D1094" t="s">
        <v>917</v>
      </c>
      <c r="E1094" t="s">
        <v>1815</v>
      </c>
      <c r="F1094" t="s">
        <v>1853</v>
      </c>
      <c r="H1094" t="s">
        <v>1863</v>
      </c>
      <c r="J1094" t="s">
        <v>1867</v>
      </c>
    </row>
    <row r="1095" spans="1:10">
      <c r="A1095" s="1">
        <f>HYPERLINK("https://cms.ls-nyc.org/matter/dynamic-profile/view/1878538","18-1878538")</f>
        <v>0</v>
      </c>
      <c r="B1095" t="s">
        <v>14</v>
      </c>
      <c r="C1095" t="s">
        <v>28</v>
      </c>
      <c r="D1095" t="s">
        <v>918</v>
      </c>
      <c r="E1095" t="s">
        <v>1812</v>
      </c>
      <c r="F1095" t="s">
        <v>1858</v>
      </c>
      <c r="H1095" t="s">
        <v>1863</v>
      </c>
      <c r="J1095" t="s">
        <v>1868</v>
      </c>
    </row>
    <row r="1096" spans="1:10">
      <c r="A1096" s="1">
        <f>HYPERLINK("https://cms.ls-nyc.org/matter/dynamic-profile/view/1878483","18-1878483")</f>
        <v>0</v>
      </c>
      <c r="B1096" t="s">
        <v>10</v>
      </c>
      <c r="C1096" t="s">
        <v>16</v>
      </c>
      <c r="D1096" t="s">
        <v>919</v>
      </c>
      <c r="E1096" t="s">
        <v>1807</v>
      </c>
      <c r="F1096" t="s">
        <v>1858</v>
      </c>
      <c r="H1096" t="s">
        <v>1863</v>
      </c>
      <c r="J1096" t="s">
        <v>1868</v>
      </c>
    </row>
    <row r="1097" spans="1:10">
      <c r="A1097" s="1">
        <f>HYPERLINK("https://cms.ls-nyc.org/matter/dynamic-profile/view/1878549","18-1878549")</f>
        <v>0</v>
      </c>
      <c r="B1097" t="s">
        <v>10</v>
      </c>
      <c r="C1097" t="s">
        <v>30</v>
      </c>
      <c r="D1097" t="s">
        <v>920</v>
      </c>
      <c r="E1097" t="s">
        <v>1815</v>
      </c>
      <c r="F1097" t="s">
        <v>1858</v>
      </c>
      <c r="H1097" t="s">
        <v>1863</v>
      </c>
      <c r="J1097" t="s">
        <v>1868</v>
      </c>
    </row>
    <row r="1098" spans="1:10">
      <c r="A1098" s="1">
        <f>HYPERLINK("https://cms.ls-nyc.org/matter/dynamic-profile/view/1878539","18-1878539")</f>
        <v>0</v>
      </c>
      <c r="B1098" t="s">
        <v>11</v>
      </c>
      <c r="C1098" t="s">
        <v>38</v>
      </c>
      <c r="D1098" t="s">
        <v>921</v>
      </c>
      <c r="E1098" t="s">
        <v>1804</v>
      </c>
      <c r="G1098" t="s">
        <v>1861</v>
      </c>
      <c r="J1098" t="s">
        <v>1867</v>
      </c>
    </row>
    <row r="1099" spans="1:10">
      <c r="A1099" s="1">
        <f>HYPERLINK("https://cms.ls-nyc.org/matter/dynamic-profile/view/1878547","18-1878547")</f>
        <v>0</v>
      </c>
      <c r="B1099" t="s">
        <v>10</v>
      </c>
      <c r="C1099" t="s">
        <v>16</v>
      </c>
      <c r="D1099" t="s">
        <v>922</v>
      </c>
      <c r="E1099" t="s">
        <v>1807</v>
      </c>
      <c r="F1099" t="s">
        <v>1853</v>
      </c>
      <c r="H1099" t="s">
        <v>1863</v>
      </c>
      <c r="J1099" t="s">
        <v>1869</v>
      </c>
    </row>
    <row r="1100" spans="1:10">
      <c r="A1100" s="1">
        <f>HYPERLINK("https://cms.ls-nyc.org/matter/dynamic-profile/view/1878315","18-1878315")</f>
        <v>0</v>
      </c>
      <c r="B1100" t="s">
        <v>14</v>
      </c>
      <c r="C1100" t="s">
        <v>28</v>
      </c>
      <c r="D1100" t="s">
        <v>923</v>
      </c>
      <c r="E1100" t="s">
        <v>1822</v>
      </c>
      <c r="F1100" t="s">
        <v>1859</v>
      </c>
      <c r="H1100" t="s">
        <v>1863</v>
      </c>
      <c r="J1100" t="s">
        <v>1868</v>
      </c>
    </row>
    <row r="1101" spans="1:10">
      <c r="A1101" s="1">
        <f>HYPERLINK("https://cms.ls-nyc.org/matter/dynamic-profile/view/1878386","18-1878386")</f>
        <v>0</v>
      </c>
      <c r="B1101" t="s">
        <v>12</v>
      </c>
      <c r="C1101" t="s">
        <v>21</v>
      </c>
      <c r="D1101" t="s">
        <v>924</v>
      </c>
      <c r="E1101" t="s">
        <v>1807</v>
      </c>
      <c r="F1101" t="s">
        <v>1853</v>
      </c>
      <c r="H1101" t="s">
        <v>1863</v>
      </c>
      <c r="J1101" t="s">
        <v>1869</v>
      </c>
    </row>
    <row r="1102" spans="1:10">
      <c r="A1102" s="1">
        <f>HYPERLINK("https://cms.ls-nyc.org/matter/dynamic-profile/view/1878330","18-1878330")</f>
        <v>0</v>
      </c>
      <c r="B1102" t="s">
        <v>15</v>
      </c>
      <c r="C1102" t="s">
        <v>35</v>
      </c>
      <c r="D1102" t="s">
        <v>652</v>
      </c>
      <c r="E1102" t="s">
        <v>1803</v>
      </c>
      <c r="F1102" t="s">
        <v>1855</v>
      </c>
      <c r="H1102" t="s">
        <v>1863</v>
      </c>
      <c r="J1102" t="s">
        <v>1871</v>
      </c>
    </row>
    <row r="1103" spans="1:10">
      <c r="A1103" s="1">
        <f>HYPERLINK("https://cms.ls-nyc.org/matter/dynamic-profile/view/1878215","18-1878215")</f>
        <v>0</v>
      </c>
      <c r="B1103" t="s">
        <v>14</v>
      </c>
      <c r="C1103" t="s">
        <v>42</v>
      </c>
      <c r="D1103" t="s">
        <v>925</v>
      </c>
      <c r="E1103" t="s">
        <v>1799</v>
      </c>
      <c r="F1103" t="s">
        <v>1859</v>
      </c>
      <c r="H1103" t="s">
        <v>1863</v>
      </c>
      <c r="J1103" t="s">
        <v>1868</v>
      </c>
    </row>
    <row r="1104" spans="1:10">
      <c r="A1104" s="1">
        <f>HYPERLINK("https://cms.ls-nyc.org/matter/dynamic-profile/view/1878280","18-1878280")</f>
        <v>0</v>
      </c>
      <c r="B1104" t="s">
        <v>11</v>
      </c>
      <c r="C1104" t="s">
        <v>38</v>
      </c>
      <c r="D1104" t="s">
        <v>926</v>
      </c>
      <c r="E1104" t="s">
        <v>1819</v>
      </c>
      <c r="F1104" t="s">
        <v>1853</v>
      </c>
      <c r="H1104" t="s">
        <v>1863</v>
      </c>
      <c r="J1104" t="s">
        <v>1867</v>
      </c>
    </row>
    <row r="1105" spans="1:10">
      <c r="A1105" s="1">
        <f>HYPERLINK("https://cms.ls-nyc.org/matter/dynamic-profile/view/1878093","18-1878093")</f>
        <v>0</v>
      </c>
      <c r="B1105" t="s">
        <v>10</v>
      </c>
      <c r="C1105" t="s">
        <v>16</v>
      </c>
      <c r="D1105" t="s">
        <v>927</v>
      </c>
      <c r="E1105" t="s">
        <v>1815</v>
      </c>
      <c r="F1105" t="s">
        <v>1853</v>
      </c>
      <c r="H1105" t="s">
        <v>1863</v>
      </c>
      <c r="J1105" t="s">
        <v>1869</v>
      </c>
    </row>
    <row r="1106" spans="1:10">
      <c r="A1106" s="1">
        <f>HYPERLINK("https://cms.ls-nyc.org/matter/dynamic-profile/view/1878110","18-1878110")</f>
        <v>0</v>
      </c>
      <c r="B1106" t="s">
        <v>10</v>
      </c>
      <c r="C1106" t="s">
        <v>17</v>
      </c>
      <c r="D1106" t="s">
        <v>612</v>
      </c>
      <c r="E1106" t="s">
        <v>1815</v>
      </c>
      <c r="F1106" t="s">
        <v>1853</v>
      </c>
      <c r="H1106" t="s">
        <v>1863</v>
      </c>
      <c r="J1106" t="s">
        <v>1867</v>
      </c>
    </row>
    <row r="1107" spans="1:10">
      <c r="A1107" s="1">
        <f>HYPERLINK("https://cms.ls-nyc.org/matter/dynamic-profile/view/1878190","18-1878190")</f>
        <v>0</v>
      </c>
      <c r="B1107" t="s">
        <v>12</v>
      </c>
      <c r="C1107" t="s">
        <v>40</v>
      </c>
      <c r="D1107" t="s">
        <v>928</v>
      </c>
      <c r="E1107" t="s">
        <v>1807</v>
      </c>
      <c r="F1107" t="s">
        <v>1853</v>
      </c>
      <c r="H1107" t="s">
        <v>1863</v>
      </c>
      <c r="J1107" t="s">
        <v>1869</v>
      </c>
    </row>
    <row r="1108" spans="1:10">
      <c r="A1108" s="1">
        <f>HYPERLINK("https://cms.ls-nyc.org/matter/dynamic-profile/view/1878192","18-1878192")</f>
        <v>0</v>
      </c>
      <c r="B1108" t="s">
        <v>11</v>
      </c>
      <c r="C1108" t="s">
        <v>36</v>
      </c>
      <c r="D1108" t="s">
        <v>929</v>
      </c>
      <c r="E1108" t="s">
        <v>1807</v>
      </c>
      <c r="F1108" t="s">
        <v>1858</v>
      </c>
      <c r="H1108" t="s">
        <v>1863</v>
      </c>
      <c r="I1108" t="s">
        <v>1865</v>
      </c>
      <c r="J1108" t="s">
        <v>1866</v>
      </c>
    </row>
    <row r="1109" spans="1:10">
      <c r="A1109" s="1">
        <f>HYPERLINK("https://cms.ls-nyc.org/matter/dynamic-profile/view/1877957","18-1877957")</f>
        <v>0</v>
      </c>
      <c r="B1109" t="s">
        <v>15</v>
      </c>
      <c r="C1109" t="s">
        <v>56</v>
      </c>
      <c r="D1109" t="s">
        <v>930</v>
      </c>
      <c r="G1109" t="s">
        <v>1861</v>
      </c>
      <c r="J1109" t="s">
        <v>1868</v>
      </c>
    </row>
    <row r="1110" spans="1:10">
      <c r="A1110" s="1">
        <f>HYPERLINK("https://cms.ls-nyc.org/matter/dynamic-profile/view/1878020","18-1878020")</f>
        <v>0</v>
      </c>
      <c r="B1110" t="s">
        <v>15</v>
      </c>
      <c r="C1110" t="s">
        <v>35</v>
      </c>
      <c r="D1110" t="s">
        <v>931</v>
      </c>
      <c r="F1110" t="s">
        <v>1858</v>
      </c>
      <c r="H1110" t="s">
        <v>1863</v>
      </c>
      <c r="J1110" t="s">
        <v>1868</v>
      </c>
    </row>
    <row r="1111" spans="1:10">
      <c r="A1111" s="1">
        <f>HYPERLINK("https://cms.ls-nyc.org/matter/dynamic-profile/view/1878977","18-1878977")</f>
        <v>0</v>
      </c>
      <c r="B1111" t="s">
        <v>14</v>
      </c>
      <c r="C1111" t="s">
        <v>28</v>
      </c>
      <c r="D1111" t="s">
        <v>932</v>
      </c>
      <c r="E1111" t="s">
        <v>1799</v>
      </c>
      <c r="F1111" t="s">
        <v>1853</v>
      </c>
      <c r="H1111" t="s">
        <v>1863</v>
      </c>
      <c r="J1111" t="s">
        <v>1867</v>
      </c>
    </row>
    <row r="1112" spans="1:10">
      <c r="A1112" s="1">
        <f>HYPERLINK("https://cms.ls-nyc.org/matter/dynamic-profile/view/1877933","18-1877933")</f>
        <v>0</v>
      </c>
      <c r="B1112" t="s">
        <v>10</v>
      </c>
      <c r="C1112" t="s">
        <v>16</v>
      </c>
      <c r="D1112" t="s">
        <v>933</v>
      </c>
      <c r="E1112" t="s">
        <v>1800</v>
      </c>
      <c r="F1112" t="s">
        <v>1853</v>
      </c>
      <c r="G1112" t="s">
        <v>1861</v>
      </c>
      <c r="H1112" t="s">
        <v>1863</v>
      </c>
      <c r="J1112" t="s">
        <v>1867</v>
      </c>
    </row>
    <row r="1113" spans="1:10">
      <c r="A1113" s="1">
        <f>HYPERLINK("https://cms.ls-nyc.org/matter/dynamic-profile/view/1877942","18-1877942")</f>
        <v>0</v>
      </c>
      <c r="B1113" t="s">
        <v>15</v>
      </c>
      <c r="C1113" t="s">
        <v>47</v>
      </c>
      <c r="D1113" t="s">
        <v>934</v>
      </c>
      <c r="E1113" t="s">
        <v>1803</v>
      </c>
      <c r="G1113" t="s">
        <v>1861</v>
      </c>
      <c r="J1113" t="s">
        <v>1871</v>
      </c>
    </row>
    <row r="1114" spans="1:10">
      <c r="A1114" s="1">
        <f>HYPERLINK("https://cms.ls-nyc.org/matter/dynamic-profile/view/1878041","18-1878041")</f>
        <v>0</v>
      </c>
      <c r="B1114" t="s">
        <v>10</v>
      </c>
      <c r="C1114" t="s">
        <v>16</v>
      </c>
      <c r="D1114" t="s">
        <v>935</v>
      </c>
      <c r="E1114" t="s">
        <v>1807</v>
      </c>
      <c r="F1114" t="s">
        <v>1853</v>
      </c>
      <c r="H1114" t="s">
        <v>1863</v>
      </c>
      <c r="J1114" t="s">
        <v>1869</v>
      </c>
    </row>
    <row r="1115" spans="1:10">
      <c r="A1115" s="1">
        <f>HYPERLINK("https://cms.ls-nyc.org/matter/dynamic-profile/view/1875639","18-1875639")</f>
        <v>0</v>
      </c>
      <c r="B1115" t="s">
        <v>13</v>
      </c>
      <c r="C1115" t="s">
        <v>57</v>
      </c>
      <c r="D1115" t="s">
        <v>936</v>
      </c>
      <c r="E1115" t="s">
        <v>1810</v>
      </c>
      <c r="F1115" t="s">
        <v>1858</v>
      </c>
      <c r="G1115" t="s">
        <v>1861</v>
      </c>
      <c r="H1115" t="s">
        <v>1864</v>
      </c>
      <c r="J1115" t="s">
        <v>1868</v>
      </c>
    </row>
    <row r="1116" spans="1:10">
      <c r="A1116" s="1">
        <f>HYPERLINK("https://cms.ls-nyc.org/matter/dynamic-profile/view/1877863","18-1877863")</f>
        <v>0</v>
      </c>
      <c r="B1116" t="s">
        <v>14</v>
      </c>
      <c r="C1116" t="s">
        <v>42</v>
      </c>
      <c r="D1116" t="s">
        <v>633</v>
      </c>
      <c r="E1116" t="s">
        <v>1809</v>
      </c>
      <c r="F1116" t="s">
        <v>1855</v>
      </c>
      <c r="H1116" t="s">
        <v>1863</v>
      </c>
      <c r="J1116" t="s">
        <v>1871</v>
      </c>
    </row>
    <row r="1117" spans="1:10">
      <c r="A1117" s="1">
        <f>HYPERLINK("https://cms.ls-nyc.org/matter/dynamic-profile/view/1877875","18-1877875")</f>
        <v>0</v>
      </c>
      <c r="B1117" t="s">
        <v>10</v>
      </c>
      <c r="C1117" t="s">
        <v>58</v>
      </c>
      <c r="D1117" t="s">
        <v>937</v>
      </c>
      <c r="E1117" t="s">
        <v>1815</v>
      </c>
      <c r="F1117" t="s">
        <v>1853</v>
      </c>
      <c r="H1117" t="s">
        <v>1863</v>
      </c>
      <c r="J1117" t="s">
        <v>1867</v>
      </c>
    </row>
    <row r="1118" spans="1:10">
      <c r="A1118" s="1">
        <f>HYPERLINK("https://cms.ls-nyc.org/matter/dynamic-profile/view/1877886","18-1877886")</f>
        <v>0</v>
      </c>
      <c r="B1118" t="s">
        <v>10</v>
      </c>
      <c r="C1118" t="s">
        <v>17</v>
      </c>
      <c r="D1118" t="s">
        <v>938</v>
      </c>
      <c r="E1118" t="s">
        <v>1807</v>
      </c>
      <c r="F1118" t="s">
        <v>1853</v>
      </c>
      <c r="H1118" t="s">
        <v>1863</v>
      </c>
      <c r="J1118" t="s">
        <v>1869</v>
      </c>
    </row>
    <row r="1119" spans="1:10">
      <c r="A1119" s="1">
        <f>HYPERLINK("https://cms.ls-nyc.org/matter/dynamic-profile/view/1877893","18-1877893")</f>
        <v>0</v>
      </c>
      <c r="B1119" t="s">
        <v>14</v>
      </c>
      <c r="C1119" t="s">
        <v>25</v>
      </c>
      <c r="D1119" t="s">
        <v>939</v>
      </c>
      <c r="E1119" t="s">
        <v>1816</v>
      </c>
      <c r="F1119" t="s">
        <v>1853</v>
      </c>
      <c r="H1119" t="s">
        <v>1863</v>
      </c>
      <c r="J1119" t="s">
        <v>1867</v>
      </c>
    </row>
    <row r="1120" spans="1:10">
      <c r="A1120" s="1">
        <f>HYPERLINK("https://cms.ls-nyc.org/matter/dynamic-profile/view/1877898","18-1877898")</f>
        <v>0</v>
      </c>
      <c r="B1120" t="s">
        <v>14</v>
      </c>
      <c r="C1120" t="s">
        <v>25</v>
      </c>
      <c r="D1120" t="s">
        <v>939</v>
      </c>
      <c r="E1120" t="s">
        <v>1804</v>
      </c>
      <c r="F1120" t="s">
        <v>1853</v>
      </c>
      <c r="J1120" t="s">
        <v>1867</v>
      </c>
    </row>
    <row r="1121" spans="1:10">
      <c r="A1121" s="1">
        <f>HYPERLINK("https://cms.ls-nyc.org/matter/dynamic-profile/view/1877903","18-1877903")</f>
        <v>0</v>
      </c>
      <c r="B1121" t="s">
        <v>14</v>
      </c>
      <c r="C1121" t="s">
        <v>25</v>
      </c>
      <c r="D1121" t="s">
        <v>939</v>
      </c>
      <c r="E1121" t="s">
        <v>1799</v>
      </c>
      <c r="F1121" t="s">
        <v>1853</v>
      </c>
      <c r="J1121" t="s">
        <v>1867</v>
      </c>
    </row>
    <row r="1122" spans="1:10">
      <c r="A1122" s="1">
        <f>HYPERLINK("https://cms.ls-nyc.org/matter/dynamic-profile/view/1877925","18-1877925")</f>
        <v>0</v>
      </c>
      <c r="B1122" t="s">
        <v>11</v>
      </c>
      <c r="C1122" t="s">
        <v>41</v>
      </c>
      <c r="D1122" t="s">
        <v>940</v>
      </c>
      <c r="E1122" t="s">
        <v>1822</v>
      </c>
      <c r="F1122" t="s">
        <v>1853</v>
      </c>
      <c r="H1122" t="s">
        <v>1863</v>
      </c>
      <c r="J1122" t="s">
        <v>1867</v>
      </c>
    </row>
    <row r="1123" spans="1:10">
      <c r="A1123" s="1">
        <f>HYPERLINK("https://cms.ls-nyc.org/matter/dynamic-profile/view/1877761","18-1877761")</f>
        <v>0</v>
      </c>
      <c r="B1123" t="s">
        <v>10</v>
      </c>
      <c r="C1123" t="s">
        <v>30</v>
      </c>
      <c r="D1123" t="s">
        <v>941</v>
      </c>
      <c r="E1123" t="s">
        <v>1815</v>
      </c>
      <c r="F1123" t="s">
        <v>1858</v>
      </c>
      <c r="H1123" t="s">
        <v>1863</v>
      </c>
      <c r="J1123" t="s">
        <v>1868</v>
      </c>
    </row>
    <row r="1124" spans="1:10">
      <c r="A1124" s="1">
        <f>HYPERLINK("https://cms.ls-nyc.org/matter/dynamic-profile/view/1877811","18-1877811")</f>
        <v>0</v>
      </c>
      <c r="B1124" t="s">
        <v>14</v>
      </c>
      <c r="C1124" t="s">
        <v>31</v>
      </c>
      <c r="D1124" t="s">
        <v>942</v>
      </c>
      <c r="E1124" t="s">
        <v>1821</v>
      </c>
      <c r="F1124" t="s">
        <v>1858</v>
      </c>
      <c r="G1124" t="s">
        <v>1861</v>
      </c>
      <c r="H1124" t="s">
        <v>1864</v>
      </c>
      <c r="I1124" t="s">
        <v>1865</v>
      </c>
      <c r="J1124" t="s">
        <v>1866</v>
      </c>
    </row>
    <row r="1125" spans="1:10">
      <c r="A1125" s="1">
        <f>HYPERLINK("https://cms.ls-nyc.org/matter/dynamic-profile/view/1877765","18-1877765")</f>
        <v>0</v>
      </c>
      <c r="B1125" t="s">
        <v>11</v>
      </c>
      <c r="C1125" t="s">
        <v>32</v>
      </c>
      <c r="D1125" t="s">
        <v>943</v>
      </c>
      <c r="E1125" t="s">
        <v>1809</v>
      </c>
      <c r="F1125" t="s">
        <v>1858</v>
      </c>
      <c r="H1125" t="s">
        <v>1863</v>
      </c>
      <c r="J1125" t="s">
        <v>1868</v>
      </c>
    </row>
    <row r="1126" spans="1:10">
      <c r="A1126" s="1">
        <f>HYPERLINK("https://cms.ls-nyc.org/matter/dynamic-profile/view/1877764","18-1877764")</f>
        <v>0</v>
      </c>
      <c r="B1126" t="s">
        <v>10</v>
      </c>
      <c r="C1126" t="s">
        <v>16</v>
      </c>
      <c r="D1126" t="s">
        <v>944</v>
      </c>
      <c r="E1126" t="s">
        <v>1815</v>
      </c>
      <c r="F1126" t="s">
        <v>1853</v>
      </c>
      <c r="H1126" t="s">
        <v>1863</v>
      </c>
      <c r="J1126" t="s">
        <v>1867</v>
      </c>
    </row>
    <row r="1127" spans="1:10">
      <c r="A1127" s="1">
        <f>HYPERLINK("https://cms.ls-nyc.org/matter/dynamic-profile/view/1877782","18-1877782")</f>
        <v>0</v>
      </c>
      <c r="B1127" t="s">
        <v>10</v>
      </c>
      <c r="C1127" t="s">
        <v>16</v>
      </c>
      <c r="D1127" t="s">
        <v>183</v>
      </c>
      <c r="E1127" t="s">
        <v>1815</v>
      </c>
      <c r="F1127" t="s">
        <v>1853</v>
      </c>
      <c r="H1127" t="s">
        <v>1863</v>
      </c>
      <c r="J1127" t="s">
        <v>1869</v>
      </c>
    </row>
    <row r="1128" spans="1:10">
      <c r="A1128" s="1">
        <f>HYPERLINK("https://cms.ls-nyc.org/matter/dynamic-profile/view/1877786","18-1877786")</f>
        <v>0</v>
      </c>
      <c r="B1128" t="s">
        <v>12</v>
      </c>
      <c r="C1128" t="s">
        <v>20</v>
      </c>
      <c r="D1128" t="s">
        <v>945</v>
      </c>
      <c r="E1128" t="s">
        <v>1821</v>
      </c>
      <c r="F1128" t="s">
        <v>1858</v>
      </c>
      <c r="H1128" t="s">
        <v>1863</v>
      </c>
      <c r="J1128" t="s">
        <v>1868</v>
      </c>
    </row>
    <row r="1129" spans="1:10">
      <c r="A1129" s="1">
        <f>HYPERLINK("https://cms.ls-nyc.org/matter/dynamic-profile/view/1877797","18-1877797")</f>
        <v>0</v>
      </c>
      <c r="B1129" t="s">
        <v>12</v>
      </c>
      <c r="C1129" t="s">
        <v>40</v>
      </c>
      <c r="D1129" t="s">
        <v>946</v>
      </c>
      <c r="E1129" t="s">
        <v>1809</v>
      </c>
      <c r="F1129" t="s">
        <v>1856</v>
      </c>
      <c r="H1129" t="s">
        <v>1863</v>
      </c>
      <c r="J1129" t="s">
        <v>1866</v>
      </c>
    </row>
    <row r="1130" spans="1:10">
      <c r="A1130" s="1">
        <f>HYPERLINK("https://cms.ls-nyc.org/matter/dynamic-profile/view/1877812","18-1877812")</f>
        <v>0</v>
      </c>
      <c r="B1130" t="s">
        <v>10</v>
      </c>
      <c r="C1130" t="s">
        <v>16</v>
      </c>
      <c r="D1130" t="s">
        <v>252</v>
      </c>
      <c r="E1130" t="s">
        <v>1807</v>
      </c>
      <c r="F1130" t="s">
        <v>1853</v>
      </c>
      <c r="H1130" t="s">
        <v>1863</v>
      </c>
      <c r="J1130" t="s">
        <v>1869</v>
      </c>
    </row>
    <row r="1131" spans="1:10">
      <c r="A1131" s="1">
        <f>HYPERLINK("https://cms.ls-nyc.org/matter/dynamic-profile/view/1877825","18-1877825")</f>
        <v>0</v>
      </c>
      <c r="B1131" t="s">
        <v>10</v>
      </c>
      <c r="C1131" t="s">
        <v>16</v>
      </c>
      <c r="D1131" t="s">
        <v>947</v>
      </c>
      <c r="E1131" t="s">
        <v>1807</v>
      </c>
      <c r="F1131" t="s">
        <v>1853</v>
      </c>
      <c r="H1131" t="s">
        <v>1863</v>
      </c>
      <c r="J1131" t="s">
        <v>1869</v>
      </c>
    </row>
    <row r="1132" spans="1:10">
      <c r="A1132" s="1">
        <f>HYPERLINK("https://cms.ls-nyc.org/matter/dynamic-profile/view/1877701","18-1877701")</f>
        <v>0</v>
      </c>
      <c r="B1132" t="s">
        <v>14</v>
      </c>
      <c r="C1132" t="s">
        <v>31</v>
      </c>
      <c r="D1132" t="s">
        <v>948</v>
      </c>
      <c r="E1132" t="s">
        <v>1800</v>
      </c>
      <c r="F1132" t="s">
        <v>1858</v>
      </c>
      <c r="G1132" t="s">
        <v>1861</v>
      </c>
      <c r="H1132" t="s">
        <v>1864</v>
      </c>
      <c r="J1132" t="s">
        <v>1868</v>
      </c>
    </row>
    <row r="1133" spans="1:10">
      <c r="A1133" s="1">
        <f>HYPERLINK("https://cms.ls-nyc.org/matter/dynamic-profile/view/1877286","18-1877286")</f>
        <v>0</v>
      </c>
      <c r="B1133" t="s">
        <v>12</v>
      </c>
      <c r="C1133" t="s">
        <v>20</v>
      </c>
      <c r="D1133" t="s">
        <v>949</v>
      </c>
      <c r="E1133" t="s">
        <v>1802</v>
      </c>
      <c r="F1133" t="s">
        <v>1855</v>
      </c>
      <c r="H1133" t="s">
        <v>1863</v>
      </c>
      <c r="J1133" t="s">
        <v>1869</v>
      </c>
    </row>
    <row r="1134" spans="1:10">
      <c r="A1134" s="1">
        <f>HYPERLINK("https://cms.ls-nyc.org/matter/dynamic-profile/view/1877652","18-1877652")</f>
        <v>0</v>
      </c>
      <c r="B1134" t="s">
        <v>10</v>
      </c>
      <c r="C1134" t="s">
        <v>16</v>
      </c>
      <c r="D1134" t="s">
        <v>950</v>
      </c>
      <c r="E1134" t="s">
        <v>1815</v>
      </c>
      <c r="F1134" t="s">
        <v>1853</v>
      </c>
      <c r="H1134" t="s">
        <v>1863</v>
      </c>
      <c r="J1134" t="s">
        <v>1869</v>
      </c>
    </row>
    <row r="1135" spans="1:10">
      <c r="A1135" s="1">
        <f>HYPERLINK("https://cms.ls-nyc.org/matter/dynamic-profile/view/1877710","18-1877710")</f>
        <v>0</v>
      </c>
      <c r="B1135" t="s">
        <v>10</v>
      </c>
      <c r="C1135" t="s">
        <v>16</v>
      </c>
      <c r="D1135" t="s">
        <v>951</v>
      </c>
      <c r="E1135" t="s">
        <v>1810</v>
      </c>
      <c r="F1135" t="s">
        <v>1853</v>
      </c>
      <c r="H1135" t="s">
        <v>1863</v>
      </c>
      <c r="J1135" t="s">
        <v>1869</v>
      </c>
    </row>
    <row r="1136" spans="1:10">
      <c r="A1136" s="1">
        <f>HYPERLINK("https://cms.ls-nyc.org/matter/dynamic-profile/view/1877477","18-1877477")</f>
        <v>0</v>
      </c>
      <c r="B1136" t="s">
        <v>14</v>
      </c>
      <c r="C1136" t="s">
        <v>31</v>
      </c>
      <c r="D1136" t="s">
        <v>952</v>
      </c>
      <c r="E1136" t="s">
        <v>1821</v>
      </c>
      <c r="F1136" t="s">
        <v>1858</v>
      </c>
      <c r="H1136" t="s">
        <v>1863</v>
      </c>
      <c r="J1136" t="s">
        <v>1868</v>
      </c>
    </row>
    <row r="1137" spans="1:10">
      <c r="A1137" s="1">
        <f>HYPERLINK("https://cms.ls-nyc.org/matter/dynamic-profile/view/1877548","18-1877548")</f>
        <v>0</v>
      </c>
      <c r="B1137" t="s">
        <v>11</v>
      </c>
      <c r="C1137" t="s">
        <v>32</v>
      </c>
      <c r="D1137" t="s">
        <v>953</v>
      </c>
      <c r="E1137" t="s">
        <v>1804</v>
      </c>
      <c r="F1137" t="s">
        <v>1853</v>
      </c>
      <c r="H1137" t="s">
        <v>1863</v>
      </c>
      <c r="J1137" t="s">
        <v>1867</v>
      </c>
    </row>
    <row r="1138" spans="1:10">
      <c r="A1138" s="1">
        <f>HYPERLINK("https://cms.ls-nyc.org/matter/dynamic-profile/view/1877532","18-1877532")</f>
        <v>0</v>
      </c>
      <c r="B1138" t="s">
        <v>12</v>
      </c>
      <c r="C1138" t="s">
        <v>49</v>
      </c>
      <c r="D1138" t="s">
        <v>954</v>
      </c>
      <c r="E1138" t="s">
        <v>1816</v>
      </c>
      <c r="G1138" t="s">
        <v>1861</v>
      </c>
      <c r="J1138" t="s">
        <v>1867</v>
      </c>
    </row>
    <row r="1139" spans="1:10">
      <c r="A1139" s="1">
        <f>HYPERLINK("https://cms.ls-nyc.org/matter/dynamic-profile/view/1877609","18-1877609")</f>
        <v>0</v>
      </c>
      <c r="B1139" t="s">
        <v>12</v>
      </c>
      <c r="C1139" t="s">
        <v>50</v>
      </c>
      <c r="D1139" t="s">
        <v>955</v>
      </c>
      <c r="E1139" t="s">
        <v>1800</v>
      </c>
      <c r="F1139" t="s">
        <v>1853</v>
      </c>
      <c r="H1139" t="s">
        <v>1863</v>
      </c>
      <c r="J1139" t="s">
        <v>1869</v>
      </c>
    </row>
    <row r="1140" spans="1:10">
      <c r="A1140" s="1">
        <f>HYPERLINK("https://cms.ls-nyc.org/matter/dynamic-profile/view/1877330","18-1877330")</f>
        <v>0</v>
      </c>
      <c r="B1140" t="s">
        <v>14</v>
      </c>
      <c r="C1140" t="s">
        <v>28</v>
      </c>
      <c r="D1140" t="s">
        <v>956</v>
      </c>
      <c r="E1140" t="s">
        <v>1825</v>
      </c>
      <c r="F1140" t="s">
        <v>1858</v>
      </c>
      <c r="H1140" t="s">
        <v>1863</v>
      </c>
      <c r="J1140" t="s">
        <v>1868</v>
      </c>
    </row>
    <row r="1141" spans="1:10">
      <c r="A1141" s="1">
        <f>HYPERLINK("https://cms.ls-nyc.org/matter/dynamic-profile/view/1877295","18-1877295")</f>
        <v>0</v>
      </c>
      <c r="B1141" t="s">
        <v>13</v>
      </c>
      <c r="C1141" t="s">
        <v>24</v>
      </c>
      <c r="D1141" t="s">
        <v>957</v>
      </c>
      <c r="E1141" t="s">
        <v>1805</v>
      </c>
      <c r="F1141" t="s">
        <v>1853</v>
      </c>
      <c r="H1141" t="s">
        <v>1863</v>
      </c>
      <c r="J1141" t="s">
        <v>1869</v>
      </c>
    </row>
    <row r="1142" spans="1:10">
      <c r="A1142" s="1">
        <f>HYPERLINK("https://cms.ls-nyc.org/matter/dynamic-profile/view/1877339","18-1877339")</f>
        <v>0</v>
      </c>
      <c r="B1142" t="s">
        <v>13</v>
      </c>
      <c r="C1142" t="s">
        <v>24</v>
      </c>
      <c r="D1142" t="s">
        <v>958</v>
      </c>
      <c r="E1142" t="s">
        <v>1806</v>
      </c>
      <c r="F1142" t="s">
        <v>1853</v>
      </c>
      <c r="H1142" t="s">
        <v>1863</v>
      </c>
      <c r="J1142" t="s">
        <v>1869</v>
      </c>
    </row>
    <row r="1143" spans="1:10">
      <c r="A1143" s="1">
        <f>HYPERLINK("https://cms.ls-nyc.org/matter/dynamic-profile/view/1877340","18-1877340")</f>
        <v>0</v>
      </c>
      <c r="B1143" t="s">
        <v>13</v>
      </c>
      <c r="C1143" t="s">
        <v>24</v>
      </c>
      <c r="D1143" t="s">
        <v>958</v>
      </c>
      <c r="E1143" t="s">
        <v>1805</v>
      </c>
      <c r="F1143" t="s">
        <v>1853</v>
      </c>
      <c r="H1143" t="s">
        <v>1863</v>
      </c>
      <c r="J1143" t="s">
        <v>1869</v>
      </c>
    </row>
    <row r="1144" spans="1:10">
      <c r="A1144" s="1">
        <f>HYPERLINK("https://cms.ls-nyc.org/matter/dynamic-profile/view/1877171","18-1877171")</f>
        <v>0</v>
      </c>
      <c r="B1144" t="s">
        <v>14</v>
      </c>
      <c r="C1144" t="s">
        <v>28</v>
      </c>
      <c r="D1144" t="s">
        <v>918</v>
      </c>
      <c r="E1144" t="s">
        <v>1822</v>
      </c>
      <c r="F1144" t="s">
        <v>1853</v>
      </c>
      <c r="H1144" t="s">
        <v>1863</v>
      </c>
      <c r="J1144" t="s">
        <v>1867</v>
      </c>
    </row>
    <row r="1145" spans="1:10">
      <c r="A1145" s="1">
        <f>HYPERLINK("https://cms.ls-nyc.org/matter/dynamic-profile/view/1877218","18-1877218")</f>
        <v>0</v>
      </c>
      <c r="B1145" t="s">
        <v>14</v>
      </c>
      <c r="C1145" t="s">
        <v>28</v>
      </c>
      <c r="D1145" t="s">
        <v>959</v>
      </c>
      <c r="E1145" t="s">
        <v>1800</v>
      </c>
      <c r="F1145" t="s">
        <v>1859</v>
      </c>
      <c r="H1145" t="s">
        <v>1863</v>
      </c>
      <c r="J1145" t="s">
        <v>1868</v>
      </c>
    </row>
    <row r="1146" spans="1:10">
      <c r="A1146" s="1">
        <f>HYPERLINK("https://cms.ls-nyc.org/matter/dynamic-profile/view/1874872","18-1874872")</f>
        <v>0</v>
      </c>
      <c r="B1146" t="s">
        <v>13</v>
      </c>
      <c r="C1146" t="s">
        <v>43</v>
      </c>
      <c r="D1146" t="s">
        <v>960</v>
      </c>
      <c r="E1146" t="s">
        <v>1807</v>
      </c>
      <c r="F1146" t="s">
        <v>1853</v>
      </c>
      <c r="H1146" t="s">
        <v>1863</v>
      </c>
      <c r="J1146" t="s">
        <v>1869</v>
      </c>
    </row>
    <row r="1147" spans="1:10">
      <c r="A1147" s="1">
        <f>HYPERLINK("https://cms.ls-nyc.org/matter/dynamic-profile/view/1877213","18-1877213")</f>
        <v>0</v>
      </c>
      <c r="B1147" t="s">
        <v>11</v>
      </c>
      <c r="C1147" t="s">
        <v>36</v>
      </c>
      <c r="D1147" t="s">
        <v>961</v>
      </c>
      <c r="E1147" t="s">
        <v>1843</v>
      </c>
      <c r="F1147" t="s">
        <v>1853</v>
      </c>
      <c r="H1147" t="s">
        <v>1863</v>
      </c>
      <c r="J1147" t="s">
        <v>1867</v>
      </c>
    </row>
    <row r="1148" spans="1:10">
      <c r="A1148" s="1">
        <f>HYPERLINK("https://cms.ls-nyc.org/matter/dynamic-profile/view/1877220","18-1877220")</f>
        <v>0</v>
      </c>
      <c r="B1148" t="s">
        <v>10</v>
      </c>
      <c r="C1148" t="s">
        <v>17</v>
      </c>
      <c r="D1148" t="s">
        <v>962</v>
      </c>
      <c r="E1148" t="s">
        <v>1815</v>
      </c>
      <c r="F1148" t="s">
        <v>1853</v>
      </c>
      <c r="H1148" t="s">
        <v>1863</v>
      </c>
      <c r="J1148" t="s">
        <v>1867</v>
      </c>
    </row>
    <row r="1149" spans="1:10">
      <c r="A1149" s="1">
        <f>HYPERLINK("https://cms.ls-nyc.org/matter/dynamic-profile/view/1877078","18-1877078")</f>
        <v>0</v>
      </c>
      <c r="B1149" t="s">
        <v>12</v>
      </c>
      <c r="C1149" t="s">
        <v>21</v>
      </c>
      <c r="D1149" t="s">
        <v>963</v>
      </c>
      <c r="E1149" t="s">
        <v>1809</v>
      </c>
      <c r="F1149" t="s">
        <v>1858</v>
      </c>
      <c r="H1149" t="s">
        <v>1863</v>
      </c>
      <c r="J1149" t="s">
        <v>1868</v>
      </c>
    </row>
    <row r="1150" spans="1:10">
      <c r="A1150" s="1">
        <f>HYPERLINK("https://cms.ls-nyc.org/matter/dynamic-profile/view/1877038","18-1877038")</f>
        <v>0</v>
      </c>
      <c r="B1150" t="s">
        <v>14</v>
      </c>
      <c r="C1150" t="s">
        <v>28</v>
      </c>
      <c r="D1150" t="s">
        <v>964</v>
      </c>
      <c r="E1150" t="s">
        <v>1823</v>
      </c>
      <c r="F1150" t="s">
        <v>1859</v>
      </c>
      <c r="H1150" t="s">
        <v>1863</v>
      </c>
      <c r="J1150" t="s">
        <v>1868</v>
      </c>
    </row>
    <row r="1151" spans="1:10">
      <c r="A1151" s="1">
        <f>HYPERLINK("https://cms.ls-nyc.org/matter/dynamic-profile/view/1877097","18-1877097")</f>
        <v>0</v>
      </c>
      <c r="B1151" t="s">
        <v>15</v>
      </c>
      <c r="C1151" t="s">
        <v>27</v>
      </c>
      <c r="D1151" t="s">
        <v>965</v>
      </c>
      <c r="E1151" t="s">
        <v>1817</v>
      </c>
      <c r="F1151" t="s">
        <v>1853</v>
      </c>
      <c r="G1151" t="s">
        <v>1861</v>
      </c>
      <c r="H1151" t="s">
        <v>1864</v>
      </c>
      <c r="J1151" t="s">
        <v>1867</v>
      </c>
    </row>
    <row r="1152" spans="1:10">
      <c r="A1152" s="1">
        <f>HYPERLINK("https://cms.ls-nyc.org/matter/dynamic-profile/view/1877110","18-1877110")</f>
        <v>0</v>
      </c>
      <c r="B1152" t="s">
        <v>15</v>
      </c>
      <c r="C1152" t="s">
        <v>27</v>
      </c>
      <c r="D1152" t="s">
        <v>965</v>
      </c>
      <c r="E1152" t="s">
        <v>1805</v>
      </c>
      <c r="F1152" t="s">
        <v>1853</v>
      </c>
      <c r="G1152" t="s">
        <v>1861</v>
      </c>
      <c r="H1152" t="s">
        <v>1864</v>
      </c>
      <c r="J1152" t="s">
        <v>1869</v>
      </c>
    </row>
    <row r="1153" spans="1:10">
      <c r="A1153" s="1">
        <f>HYPERLINK("https://cms.ls-nyc.org/matter/dynamic-profile/view/1877048","18-1877048")</f>
        <v>0</v>
      </c>
      <c r="B1153" t="s">
        <v>14</v>
      </c>
      <c r="C1153" t="s">
        <v>25</v>
      </c>
      <c r="D1153" t="s">
        <v>99</v>
      </c>
      <c r="E1153" t="s">
        <v>1809</v>
      </c>
      <c r="F1153" t="s">
        <v>1859</v>
      </c>
      <c r="H1153" t="s">
        <v>1863</v>
      </c>
      <c r="J1153" t="s">
        <v>1868</v>
      </c>
    </row>
    <row r="1154" spans="1:10">
      <c r="A1154" s="1">
        <f>HYPERLINK("https://cms.ls-nyc.org/matter/dynamic-profile/view/1877098","18-1877098")</f>
        <v>0</v>
      </c>
      <c r="B1154" t="s">
        <v>10</v>
      </c>
      <c r="C1154" t="s">
        <v>17</v>
      </c>
      <c r="D1154" t="s">
        <v>966</v>
      </c>
      <c r="E1154" t="s">
        <v>1815</v>
      </c>
      <c r="F1154" t="s">
        <v>1853</v>
      </c>
      <c r="H1154" t="s">
        <v>1863</v>
      </c>
      <c r="J1154" t="s">
        <v>1869</v>
      </c>
    </row>
    <row r="1155" spans="1:10">
      <c r="A1155" s="1">
        <f>HYPERLINK("https://cms.ls-nyc.org/matter/dynamic-profile/view/1876752","18-1876752")</f>
        <v>0</v>
      </c>
      <c r="B1155" t="s">
        <v>14</v>
      </c>
      <c r="C1155" t="s">
        <v>28</v>
      </c>
      <c r="D1155" t="s">
        <v>967</v>
      </c>
      <c r="E1155" t="s">
        <v>1810</v>
      </c>
      <c r="F1155" t="s">
        <v>1858</v>
      </c>
      <c r="G1155" t="s">
        <v>1861</v>
      </c>
      <c r="H1155" t="s">
        <v>1864</v>
      </c>
      <c r="J1155" t="s">
        <v>1868</v>
      </c>
    </row>
    <row r="1156" spans="1:10">
      <c r="A1156" s="1">
        <f>HYPERLINK("https://cms.ls-nyc.org/matter/dynamic-profile/view/1874676","18-1874676")</f>
        <v>0</v>
      </c>
      <c r="B1156" t="s">
        <v>11</v>
      </c>
      <c r="C1156" t="s">
        <v>18</v>
      </c>
      <c r="D1156" t="s">
        <v>968</v>
      </c>
      <c r="E1156" t="s">
        <v>1844</v>
      </c>
      <c r="F1156" t="s">
        <v>1858</v>
      </c>
      <c r="H1156" t="s">
        <v>1863</v>
      </c>
      <c r="J1156" t="s">
        <v>1868</v>
      </c>
    </row>
    <row r="1157" spans="1:10">
      <c r="A1157" s="1">
        <f>HYPERLINK("https://cms.ls-nyc.org/matter/dynamic-profile/view/1876874","18-1876874")</f>
        <v>0</v>
      </c>
      <c r="B1157" t="s">
        <v>15</v>
      </c>
      <c r="C1157" t="s">
        <v>27</v>
      </c>
      <c r="D1157" t="s">
        <v>969</v>
      </c>
      <c r="E1157" t="s">
        <v>1845</v>
      </c>
      <c r="H1157" t="s">
        <v>1863</v>
      </c>
      <c r="J1157" t="s">
        <v>1867</v>
      </c>
    </row>
    <row r="1158" spans="1:10">
      <c r="A1158" s="1">
        <f>HYPERLINK("https://cms.ls-nyc.org/matter/dynamic-profile/view/1876702","18-1876702")</f>
        <v>0</v>
      </c>
      <c r="B1158" t="s">
        <v>14</v>
      </c>
      <c r="C1158" t="s">
        <v>28</v>
      </c>
      <c r="D1158" t="s">
        <v>970</v>
      </c>
      <c r="E1158" t="s">
        <v>1809</v>
      </c>
      <c r="F1158" t="s">
        <v>1858</v>
      </c>
      <c r="G1158" t="s">
        <v>1861</v>
      </c>
      <c r="H1158" t="s">
        <v>1864</v>
      </c>
      <c r="J1158" t="s">
        <v>1868</v>
      </c>
    </row>
    <row r="1159" spans="1:10">
      <c r="A1159" s="1">
        <f>HYPERLINK("https://cms.ls-nyc.org/matter/dynamic-profile/view/1876717","18-1876717")</f>
        <v>0</v>
      </c>
      <c r="B1159" t="s">
        <v>14</v>
      </c>
      <c r="C1159" t="s">
        <v>28</v>
      </c>
      <c r="D1159" t="s">
        <v>971</v>
      </c>
      <c r="E1159" t="s">
        <v>1799</v>
      </c>
      <c r="F1159" t="s">
        <v>1853</v>
      </c>
      <c r="H1159" t="s">
        <v>1863</v>
      </c>
      <c r="J1159" t="s">
        <v>1867</v>
      </c>
    </row>
    <row r="1160" spans="1:10">
      <c r="A1160" s="1">
        <f>HYPERLINK("https://cms.ls-nyc.org/matter/dynamic-profile/view/1876667","18-1876667")</f>
        <v>0</v>
      </c>
      <c r="B1160" t="s">
        <v>12</v>
      </c>
      <c r="C1160" t="s">
        <v>21</v>
      </c>
      <c r="D1160" t="s">
        <v>972</v>
      </c>
      <c r="E1160" t="s">
        <v>1816</v>
      </c>
      <c r="F1160" t="s">
        <v>1853</v>
      </c>
      <c r="H1160" t="s">
        <v>1863</v>
      </c>
      <c r="J1160" t="s">
        <v>1867</v>
      </c>
    </row>
    <row r="1161" spans="1:10">
      <c r="A1161" s="1">
        <f>HYPERLINK("https://cms.ls-nyc.org/matter/dynamic-profile/view/1876102","18-1876102")</f>
        <v>0</v>
      </c>
      <c r="B1161" t="s">
        <v>13</v>
      </c>
      <c r="C1161" t="s">
        <v>29</v>
      </c>
      <c r="D1161" t="s">
        <v>303</v>
      </c>
      <c r="E1161" t="s">
        <v>1809</v>
      </c>
      <c r="F1161" t="s">
        <v>1855</v>
      </c>
      <c r="H1161" t="s">
        <v>1863</v>
      </c>
      <c r="J1161" t="s">
        <v>1870</v>
      </c>
    </row>
    <row r="1162" spans="1:10">
      <c r="A1162" s="1">
        <f>HYPERLINK("https://cms.ls-nyc.org/matter/dynamic-profile/view/1876660","18-1876660")</f>
        <v>0</v>
      </c>
      <c r="B1162" t="s">
        <v>14</v>
      </c>
      <c r="C1162" t="s">
        <v>28</v>
      </c>
      <c r="D1162" t="s">
        <v>971</v>
      </c>
      <c r="E1162" t="s">
        <v>1815</v>
      </c>
      <c r="F1162" t="s">
        <v>1853</v>
      </c>
      <c r="H1162" t="s">
        <v>1863</v>
      </c>
      <c r="J1162" t="s">
        <v>1867</v>
      </c>
    </row>
    <row r="1163" spans="1:10">
      <c r="A1163" s="1">
        <f>HYPERLINK("https://cms.ls-nyc.org/matter/dynamic-profile/view/1876500","18-1876500")</f>
        <v>0</v>
      </c>
      <c r="B1163" t="s">
        <v>12</v>
      </c>
      <c r="C1163" t="s">
        <v>40</v>
      </c>
      <c r="D1163" t="s">
        <v>912</v>
      </c>
      <c r="E1163" t="s">
        <v>1823</v>
      </c>
      <c r="F1163" t="s">
        <v>1859</v>
      </c>
      <c r="H1163" t="s">
        <v>1863</v>
      </c>
      <c r="J1163" t="s">
        <v>1868</v>
      </c>
    </row>
    <row r="1164" spans="1:10">
      <c r="A1164" s="1">
        <f>HYPERLINK("https://cms.ls-nyc.org/matter/dynamic-profile/view/1876476","18-1876476")</f>
        <v>0</v>
      </c>
      <c r="B1164" t="s">
        <v>10</v>
      </c>
      <c r="C1164" t="s">
        <v>16</v>
      </c>
      <c r="D1164" t="s">
        <v>973</v>
      </c>
      <c r="E1164" t="s">
        <v>1803</v>
      </c>
      <c r="F1164" t="s">
        <v>1853</v>
      </c>
      <c r="H1164" t="s">
        <v>1863</v>
      </c>
      <c r="J1164" t="s">
        <v>1871</v>
      </c>
    </row>
    <row r="1165" spans="1:10">
      <c r="A1165" s="1">
        <f>HYPERLINK("https://cms.ls-nyc.org/matter/dynamic-profile/view/1876478","18-1876478")</f>
        <v>0</v>
      </c>
      <c r="B1165" t="s">
        <v>10</v>
      </c>
      <c r="C1165" t="s">
        <v>16</v>
      </c>
      <c r="D1165" t="s">
        <v>974</v>
      </c>
      <c r="E1165" t="s">
        <v>1803</v>
      </c>
      <c r="F1165" t="s">
        <v>1853</v>
      </c>
      <c r="H1165" t="s">
        <v>1863</v>
      </c>
      <c r="J1165" t="s">
        <v>1870</v>
      </c>
    </row>
    <row r="1166" spans="1:10">
      <c r="A1166" s="1">
        <f>HYPERLINK("https://cms.ls-nyc.org/matter/dynamic-profile/view/1876424","18-1876424")</f>
        <v>0</v>
      </c>
      <c r="B1166" t="s">
        <v>14</v>
      </c>
      <c r="C1166" t="s">
        <v>42</v>
      </c>
      <c r="D1166" t="s">
        <v>975</v>
      </c>
      <c r="E1166" t="s">
        <v>1799</v>
      </c>
      <c r="F1166" t="s">
        <v>1853</v>
      </c>
      <c r="H1166" t="s">
        <v>1863</v>
      </c>
      <c r="J1166" t="s">
        <v>1867</v>
      </c>
    </row>
    <row r="1167" spans="1:10">
      <c r="A1167" s="1">
        <f>HYPERLINK("https://cms.ls-nyc.org/matter/dynamic-profile/view/1876422","18-1876422")</f>
        <v>0</v>
      </c>
      <c r="B1167" t="s">
        <v>14</v>
      </c>
      <c r="C1167" t="s">
        <v>42</v>
      </c>
      <c r="D1167" t="s">
        <v>975</v>
      </c>
      <c r="E1167" t="s">
        <v>1804</v>
      </c>
      <c r="F1167" t="s">
        <v>1853</v>
      </c>
      <c r="H1167" t="s">
        <v>1863</v>
      </c>
      <c r="J1167" t="s">
        <v>1867</v>
      </c>
    </row>
    <row r="1168" spans="1:10">
      <c r="A1168" s="1">
        <f>HYPERLINK("https://cms.ls-nyc.org/matter/dynamic-profile/view/1876428","18-1876428")</f>
        <v>0</v>
      </c>
      <c r="B1168" t="s">
        <v>12</v>
      </c>
      <c r="C1168" t="s">
        <v>40</v>
      </c>
      <c r="D1168" t="s">
        <v>976</v>
      </c>
      <c r="E1168" t="s">
        <v>1829</v>
      </c>
      <c r="F1168" t="s">
        <v>1853</v>
      </c>
      <c r="H1168" t="s">
        <v>1863</v>
      </c>
      <c r="J1168" t="s">
        <v>1867</v>
      </c>
    </row>
    <row r="1169" spans="1:10">
      <c r="A1169" s="1">
        <f>HYPERLINK("https://cms.ls-nyc.org/matter/dynamic-profile/view/1876425","18-1876425")</f>
        <v>0</v>
      </c>
      <c r="B1169" t="s">
        <v>14</v>
      </c>
      <c r="C1169" t="s">
        <v>31</v>
      </c>
      <c r="D1169" t="s">
        <v>888</v>
      </c>
      <c r="E1169" t="s">
        <v>1800</v>
      </c>
      <c r="F1169" t="s">
        <v>1853</v>
      </c>
      <c r="H1169" t="s">
        <v>1863</v>
      </c>
      <c r="J1169" t="s">
        <v>1867</v>
      </c>
    </row>
    <row r="1170" spans="1:10">
      <c r="A1170" s="1">
        <f>HYPERLINK("https://cms.ls-nyc.org/matter/dynamic-profile/view/1876301","18-1876301")</f>
        <v>0</v>
      </c>
      <c r="B1170" t="s">
        <v>14</v>
      </c>
      <c r="C1170" t="s">
        <v>42</v>
      </c>
      <c r="D1170" t="s">
        <v>925</v>
      </c>
      <c r="E1170" t="s">
        <v>1800</v>
      </c>
      <c r="F1170" t="s">
        <v>1859</v>
      </c>
      <c r="H1170" t="s">
        <v>1863</v>
      </c>
      <c r="J1170" t="s">
        <v>1868</v>
      </c>
    </row>
    <row r="1171" spans="1:10">
      <c r="A1171" s="1">
        <f>HYPERLINK("https://cms.ls-nyc.org/matter/dynamic-profile/view/1876197","18-1876197")</f>
        <v>0</v>
      </c>
      <c r="B1171" t="s">
        <v>10</v>
      </c>
      <c r="C1171" t="s">
        <v>17</v>
      </c>
      <c r="D1171" t="s">
        <v>977</v>
      </c>
      <c r="E1171" t="s">
        <v>1807</v>
      </c>
      <c r="F1171" t="s">
        <v>1853</v>
      </c>
      <c r="H1171" t="s">
        <v>1863</v>
      </c>
      <c r="J1171" t="s">
        <v>1869</v>
      </c>
    </row>
    <row r="1172" spans="1:10">
      <c r="A1172" s="1">
        <f>HYPERLINK("https://cms.ls-nyc.org/matter/dynamic-profile/view/1876213","18-1876213")</f>
        <v>0</v>
      </c>
      <c r="B1172" t="s">
        <v>12</v>
      </c>
      <c r="C1172" t="s">
        <v>20</v>
      </c>
      <c r="D1172" t="s">
        <v>978</v>
      </c>
      <c r="E1172" t="s">
        <v>1809</v>
      </c>
      <c r="F1172" t="s">
        <v>1855</v>
      </c>
      <c r="H1172" t="s">
        <v>1863</v>
      </c>
      <c r="J1172" t="s">
        <v>1871</v>
      </c>
    </row>
    <row r="1173" spans="1:10">
      <c r="A1173" s="1">
        <f>HYPERLINK("https://cms.ls-nyc.org/matter/dynamic-profile/view/1876017","18-1876017")</f>
        <v>0</v>
      </c>
      <c r="B1173" t="s">
        <v>12</v>
      </c>
      <c r="C1173" t="s">
        <v>21</v>
      </c>
      <c r="D1173" t="s">
        <v>979</v>
      </c>
      <c r="E1173" t="s">
        <v>1809</v>
      </c>
      <c r="F1173" t="s">
        <v>1858</v>
      </c>
      <c r="H1173" t="s">
        <v>1863</v>
      </c>
      <c r="J1173" t="s">
        <v>1868</v>
      </c>
    </row>
    <row r="1174" spans="1:10">
      <c r="A1174" s="1">
        <f>HYPERLINK("https://cms.ls-nyc.org/matter/dynamic-profile/view/1873556","18-1873556")</f>
        <v>0</v>
      </c>
      <c r="B1174" t="s">
        <v>13</v>
      </c>
      <c r="C1174" t="s">
        <v>24</v>
      </c>
      <c r="D1174" t="s">
        <v>980</v>
      </c>
      <c r="E1174" t="s">
        <v>1814</v>
      </c>
      <c r="F1174" t="s">
        <v>1853</v>
      </c>
      <c r="H1174" t="s">
        <v>1863</v>
      </c>
      <c r="J1174" t="s">
        <v>1869</v>
      </c>
    </row>
    <row r="1175" spans="1:10">
      <c r="A1175" s="1">
        <f>HYPERLINK("https://cms.ls-nyc.org/matter/dynamic-profile/view/1875996","18-1875996")</f>
        <v>0</v>
      </c>
      <c r="B1175" t="s">
        <v>13</v>
      </c>
      <c r="C1175" t="s">
        <v>22</v>
      </c>
      <c r="D1175" t="s">
        <v>981</v>
      </c>
      <c r="E1175" t="s">
        <v>1807</v>
      </c>
      <c r="F1175" t="s">
        <v>1853</v>
      </c>
      <c r="H1175" t="s">
        <v>1863</v>
      </c>
      <c r="J1175" t="s">
        <v>1869</v>
      </c>
    </row>
    <row r="1176" spans="1:10">
      <c r="A1176" s="1">
        <f>HYPERLINK("https://cms.ls-nyc.org/matter/dynamic-profile/view/1875840","18-1875840")</f>
        <v>0</v>
      </c>
      <c r="B1176" t="s">
        <v>12</v>
      </c>
      <c r="C1176" t="s">
        <v>40</v>
      </c>
      <c r="D1176" t="s">
        <v>982</v>
      </c>
      <c r="G1176" t="s">
        <v>1861</v>
      </c>
      <c r="J1176" t="s">
        <v>1868</v>
      </c>
    </row>
    <row r="1177" spans="1:10">
      <c r="A1177" s="1">
        <f>HYPERLINK("https://cms.ls-nyc.org/matter/dynamic-profile/view/1875815","18-1875815")</f>
        <v>0</v>
      </c>
      <c r="B1177" t="s">
        <v>10</v>
      </c>
      <c r="C1177" t="s">
        <v>30</v>
      </c>
      <c r="D1177" t="s">
        <v>983</v>
      </c>
      <c r="E1177" t="s">
        <v>1815</v>
      </c>
      <c r="F1177" t="s">
        <v>1858</v>
      </c>
      <c r="H1177" t="s">
        <v>1863</v>
      </c>
      <c r="J1177" t="s">
        <v>1868</v>
      </c>
    </row>
    <row r="1178" spans="1:10">
      <c r="A1178" s="1">
        <f>HYPERLINK("https://cms.ls-nyc.org/matter/dynamic-profile/view/1875839","18-1875839")</f>
        <v>0</v>
      </c>
      <c r="B1178" t="s">
        <v>13</v>
      </c>
      <c r="C1178" t="s">
        <v>29</v>
      </c>
      <c r="D1178" t="s">
        <v>984</v>
      </c>
      <c r="F1178" t="s">
        <v>1857</v>
      </c>
      <c r="H1178" t="s">
        <v>1863</v>
      </c>
      <c r="J1178" t="s">
        <v>1869</v>
      </c>
    </row>
    <row r="1179" spans="1:10">
      <c r="A1179" s="1">
        <f>HYPERLINK("https://cms.ls-nyc.org/matter/dynamic-profile/view/1875751","18-1875751")</f>
        <v>0</v>
      </c>
      <c r="B1179" t="s">
        <v>10</v>
      </c>
      <c r="C1179" t="s">
        <v>16</v>
      </c>
      <c r="D1179" t="s">
        <v>985</v>
      </c>
      <c r="E1179" t="s">
        <v>1815</v>
      </c>
      <c r="F1179" t="s">
        <v>1858</v>
      </c>
      <c r="G1179" t="s">
        <v>1861</v>
      </c>
      <c r="J1179" t="s">
        <v>1868</v>
      </c>
    </row>
    <row r="1180" spans="1:10">
      <c r="A1180" s="1">
        <f>HYPERLINK("https://cms.ls-nyc.org/matter/dynamic-profile/view/1867188","18-1867188")</f>
        <v>0</v>
      </c>
      <c r="B1180" t="s">
        <v>13</v>
      </c>
      <c r="C1180" t="s">
        <v>22</v>
      </c>
      <c r="D1180" t="s">
        <v>986</v>
      </c>
      <c r="E1180" t="s">
        <v>1807</v>
      </c>
      <c r="F1180" t="s">
        <v>1853</v>
      </c>
      <c r="H1180" t="s">
        <v>1863</v>
      </c>
      <c r="J1180" t="s">
        <v>1869</v>
      </c>
    </row>
    <row r="1181" spans="1:10">
      <c r="A1181" s="1">
        <f>HYPERLINK("https://cms.ls-nyc.org/matter/dynamic-profile/view/1875589","18-1875589")</f>
        <v>0</v>
      </c>
      <c r="B1181" t="s">
        <v>10</v>
      </c>
      <c r="C1181" t="s">
        <v>17</v>
      </c>
      <c r="D1181" t="s">
        <v>987</v>
      </c>
      <c r="E1181" t="s">
        <v>1810</v>
      </c>
      <c r="F1181" t="s">
        <v>1853</v>
      </c>
      <c r="H1181" t="s">
        <v>1863</v>
      </c>
      <c r="J1181" t="s">
        <v>1869</v>
      </c>
    </row>
    <row r="1182" spans="1:10">
      <c r="A1182" s="1">
        <f>HYPERLINK("https://cms.ls-nyc.org/matter/dynamic-profile/view/1875484","18-1875484")</f>
        <v>0</v>
      </c>
      <c r="B1182" t="s">
        <v>10</v>
      </c>
      <c r="C1182" t="s">
        <v>30</v>
      </c>
      <c r="D1182" t="s">
        <v>988</v>
      </c>
      <c r="E1182" t="s">
        <v>1810</v>
      </c>
      <c r="F1182" t="s">
        <v>1858</v>
      </c>
      <c r="H1182" t="s">
        <v>1863</v>
      </c>
      <c r="J1182" t="s">
        <v>1868</v>
      </c>
    </row>
    <row r="1183" spans="1:10">
      <c r="A1183" s="1">
        <f>HYPERLINK("https://cms.ls-nyc.org/matter/dynamic-profile/view/1875499","18-1875499")</f>
        <v>0</v>
      </c>
      <c r="B1183" t="s">
        <v>12</v>
      </c>
      <c r="C1183" t="s">
        <v>33</v>
      </c>
      <c r="D1183" t="s">
        <v>989</v>
      </c>
      <c r="E1183" t="s">
        <v>1819</v>
      </c>
      <c r="F1183" t="s">
        <v>1856</v>
      </c>
      <c r="H1183" t="s">
        <v>1863</v>
      </c>
      <c r="J1183" t="s">
        <v>1866</v>
      </c>
    </row>
    <row r="1184" spans="1:10">
      <c r="A1184" s="1">
        <f>HYPERLINK("https://cms.ls-nyc.org/matter/dynamic-profile/view/1875528","18-1875528")</f>
        <v>0</v>
      </c>
      <c r="B1184" t="s">
        <v>10</v>
      </c>
      <c r="C1184" t="s">
        <v>17</v>
      </c>
      <c r="D1184" t="s">
        <v>990</v>
      </c>
      <c r="E1184" t="s">
        <v>1815</v>
      </c>
      <c r="F1184" t="s">
        <v>1853</v>
      </c>
      <c r="H1184" t="s">
        <v>1863</v>
      </c>
      <c r="J1184" t="s">
        <v>1867</v>
      </c>
    </row>
    <row r="1185" spans="1:10">
      <c r="A1185" s="1">
        <f>HYPERLINK("https://cms.ls-nyc.org/matter/dynamic-profile/view/1875365","18-1875365")</f>
        <v>0</v>
      </c>
      <c r="B1185" t="s">
        <v>10</v>
      </c>
      <c r="C1185" t="s">
        <v>16</v>
      </c>
      <c r="D1185" t="s">
        <v>991</v>
      </c>
      <c r="E1185" t="s">
        <v>1807</v>
      </c>
      <c r="F1185" t="s">
        <v>1858</v>
      </c>
      <c r="H1185" t="s">
        <v>1863</v>
      </c>
      <c r="J1185" t="s">
        <v>1868</v>
      </c>
    </row>
    <row r="1186" spans="1:10">
      <c r="A1186" s="1">
        <f>HYPERLINK("https://cms.ls-nyc.org/matter/dynamic-profile/view/1875339","18-1875339")</f>
        <v>0</v>
      </c>
      <c r="B1186" t="s">
        <v>10</v>
      </c>
      <c r="C1186" t="s">
        <v>16</v>
      </c>
      <c r="D1186" t="s">
        <v>992</v>
      </c>
      <c r="E1186" t="s">
        <v>1815</v>
      </c>
      <c r="F1186" t="s">
        <v>1858</v>
      </c>
      <c r="H1186" t="s">
        <v>1863</v>
      </c>
      <c r="J1186" t="s">
        <v>1868</v>
      </c>
    </row>
    <row r="1187" spans="1:10">
      <c r="A1187" s="1">
        <f>HYPERLINK("https://cms.ls-nyc.org/matter/dynamic-profile/view/1875346","18-1875346")</f>
        <v>0</v>
      </c>
      <c r="B1187" t="s">
        <v>10</v>
      </c>
      <c r="C1187" t="s">
        <v>16</v>
      </c>
      <c r="D1187" t="s">
        <v>993</v>
      </c>
      <c r="E1187" t="s">
        <v>1815</v>
      </c>
      <c r="F1187" t="s">
        <v>1858</v>
      </c>
      <c r="H1187" t="s">
        <v>1863</v>
      </c>
      <c r="J1187" t="s">
        <v>1868</v>
      </c>
    </row>
    <row r="1188" spans="1:10">
      <c r="A1188" s="1">
        <f>HYPERLINK("https://cms.ls-nyc.org/matter/dynamic-profile/view/1875377","18-1875377")</f>
        <v>0</v>
      </c>
      <c r="B1188" t="s">
        <v>10</v>
      </c>
      <c r="C1188" t="s">
        <v>17</v>
      </c>
      <c r="D1188" t="s">
        <v>994</v>
      </c>
      <c r="E1188" t="s">
        <v>1815</v>
      </c>
      <c r="F1188" t="s">
        <v>1853</v>
      </c>
      <c r="H1188" t="s">
        <v>1863</v>
      </c>
      <c r="J1188" t="s">
        <v>1867</v>
      </c>
    </row>
    <row r="1189" spans="1:10">
      <c r="A1189" s="1">
        <f>HYPERLINK("https://cms.ls-nyc.org/matter/dynamic-profile/view/1875403","18-1875403")</f>
        <v>0</v>
      </c>
      <c r="B1189" t="s">
        <v>10</v>
      </c>
      <c r="C1189" t="s">
        <v>16</v>
      </c>
      <c r="D1189" t="s">
        <v>995</v>
      </c>
      <c r="E1189" t="s">
        <v>1815</v>
      </c>
      <c r="F1189" t="s">
        <v>1853</v>
      </c>
      <c r="H1189" t="s">
        <v>1863</v>
      </c>
      <c r="J1189" t="s">
        <v>1869</v>
      </c>
    </row>
    <row r="1190" spans="1:10">
      <c r="A1190" s="1">
        <f>HYPERLINK("https://cms.ls-nyc.org/matter/dynamic-profile/view/1875255","18-1875255")</f>
        <v>0</v>
      </c>
      <c r="B1190" t="s">
        <v>12</v>
      </c>
      <c r="C1190" t="s">
        <v>40</v>
      </c>
      <c r="D1190" t="s">
        <v>996</v>
      </c>
      <c r="E1190" t="s">
        <v>1804</v>
      </c>
      <c r="F1190" t="s">
        <v>1853</v>
      </c>
      <c r="H1190" t="s">
        <v>1863</v>
      </c>
      <c r="J1190" t="s">
        <v>1867</v>
      </c>
    </row>
    <row r="1191" spans="1:10">
      <c r="A1191" s="1">
        <f>HYPERLINK("https://cms.ls-nyc.org/matter/dynamic-profile/view/1875259","18-1875259")</f>
        <v>0</v>
      </c>
      <c r="B1191" t="s">
        <v>10</v>
      </c>
      <c r="C1191" t="s">
        <v>16</v>
      </c>
      <c r="D1191" t="s">
        <v>997</v>
      </c>
      <c r="E1191" t="s">
        <v>1807</v>
      </c>
      <c r="F1191" t="s">
        <v>1853</v>
      </c>
      <c r="H1191" t="s">
        <v>1863</v>
      </c>
      <c r="J1191" t="s">
        <v>1869</v>
      </c>
    </row>
    <row r="1192" spans="1:10">
      <c r="A1192" s="1">
        <f>HYPERLINK("https://cms.ls-nyc.org/matter/dynamic-profile/view/1875267","18-1875267")</f>
        <v>0</v>
      </c>
      <c r="B1192" t="s">
        <v>10</v>
      </c>
      <c r="C1192" t="s">
        <v>16</v>
      </c>
      <c r="D1192" t="s">
        <v>998</v>
      </c>
      <c r="E1192" t="s">
        <v>1815</v>
      </c>
      <c r="F1192" t="s">
        <v>1853</v>
      </c>
      <c r="H1192" t="s">
        <v>1863</v>
      </c>
      <c r="J1192" t="s">
        <v>1867</v>
      </c>
    </row>
    <row r="1193" spans="1:10">
      <c r="A1193" s="1">
        <f>HYPERLINK("https://cms.ls-nyc.org/matter/dynamic-profile/view/1875282","18-1875282")</f>
        <v>0</v>
      </c>
      <c r="B1193" t="s">
        <v>10</v>
      </c>
      <c r="C1193" t="s">
        <v>16</v>
      </c>
      <c r="D1193" t="s">
        <v>999</v>
      </c>
      <c r="E1193" t="s">
        <v>1815</v>
      </c>
      <c r="F1193" t="s">
        <v>1853</v>
      </c>
      <c r="H1193" t="s">
        <v>1863</v>
      </c>
      <c r="J1193" t="s">
        <v>1869</v>
      </c>
    </row>
    <row r="1194" spans="1:10">
      <c r="A1194" s="1">
        <f>HYPERLINK("https://cms.ls-nyc.org/matter/dynamic-profile/view/1875132","18-1875132")</f>
        <v>0</v>
      </c>
      <c r="B1194" t="s">
        <v>12</v>
      </c>
      <c r="C1194" t="s">
        <v>49</v>
      </c>
      <c r="D1194" t="s">
        <v>1000</v>
      </c>
      <c r="E1194" t="s">
        <v>1809</v>
      </c>
      <c r="F1194" t="s">
        <v>1856</v>
      </c>
      <c r="H1194" t="s">
        <v>1863</v>
      </c>
      <c r="J1194" t="s">
        <v>1868</v>
      </c>
    </row>
    <row r="1195" spans="1:10">
      <c r="A1195" s="1">
        <f>HYPERLINK("https://cms.ls-nyc.org/matter/dynamic-profile/view/1875135","18-1875135")</f>
        <v>0</v>
      </c>
      <c r="B1195" t="s">
        <v>12</v>
      </c>
      <c r="C1195" t="s">
        <v>40</v>
      </c>
      <c r="D1195" t="s">
        <v>1001</v>
      </c>
      <c r="E1195" t="s">
        <v>1807</v>
      </c>
      <c r="F1195" t="s">
        <v>1853</v>
      </c>
      <c r="H1195" t="s">
        <v>1863</v>
      </c>
      <c r="J1195" t="s">
        <v>1869</v>
      </c>
    </row>
    <row r="1196" spans="1:10">
      <c r="A1196" s="1">
        <f>HYPERLINK("https://cms.ls-nyc.org/matter/dynamic-profile/view/1875164","18-1875164")</f>
        <v>0</v>
      </c>
      <c r="B1196" t="s">
        <v>10</v>
      </c>
      <c r="C1196" t="s">
        <v>16</v>
      </c>
      <c r="D1196" t="s">
        <v>1002</v>
      </c>
      <c r="E1196" t="s">
        <v>1807</v>
      </c>
      <c r="F1196" t="s">
        <v>1853</v>
      </c>
      <c r="G1196" t="s">
        <v>1861</v>
      </c>
      <c r="H1196" t="s">
        <v>1863</v>
      </c>
      <c r="J1196" t="s">
        <v>1869</v>
      </c>
    </row>
    <row r="1197" spans="1:10">
      <c r="A1197" s="1">
        <f>HYPERLINK("https://cms.ls-nyc.org/matter/dynamic-profile/view/1875035","18-1875035")</f>
        <v>0</v>
      </c>
      <c r="B1197" t="s">
        <v>10</v>
      </c>
      <c r="C1197" t="s">
        <v>16</v>
      </c>
      <c r="D1197" t="s">
        <v>1003</v>
      </c>
      <c r="E1197" t="s">
        <v>1815</v>
      </c>
      <c r="F1197" t="s">
        <v>1858</v>
      </c>
      <c r="H1197" t="s">
        <v>1863</v>
      </c>
      <c r="J1197" t="s">
        <v>1868</v>
      </c>
    </row>
    <row r="1198" spans="1:10">
      <c r="A1198" s="1">
        <f>HYPERLINK("https://cms.ls-nyc.org/matter/dynamic-profile/view/1875013","18-1875013")</f>
        <v>0</v>
      </c>
      <c r="B1198" t="s">
        <v>14</v>
      </c>
      <c r="C1198" t="s">
        <v>28</v>
      </c>
      <c r="D1198" t="s">
        <v>1004</v>
      </c>
      <c r="E1198" t="s">
        <v>1810</v>
      </c>
      <c r="F1198" t="s">
        <v>1858</v>
      </c>
      <c r="H1198" t="s">
        <v>1863</v>
      </c>
      <c r="J1198" t="s">
        <v>1868</v>
      </c>
    </row>
    <row r="1199" spans="1:10">
      <c r="A1199" s="1">
        <f>HYPERLINK("https://cms.ls-nyc.org/matter/dynamic-profile/view/1874967","18-1874967")</f>
        <v>0</v>
      </c>
      <c r="B1199" t="s">
        <v>15</v>
      </c>
      <c r="C1199" t="s">
        <v>34</v>
      </c>
      <c r="D1199" t="s">
        <v>674</v>
      </c>
      <c r="E1199" t="s">
        <v>1824</v>
      </c>
      <c r="F1199" t="s">
        <v>1855</v>
      </c>
      <c r="G1199" t="s">
        <v>1861</v>
      </c>
      <c r="J1199" t="s">
        <v>1871</v>
      </c>
    </row>
    <row r="1200" spans="1:10">
      <c r="A1200" s="1">
        <f>HYPERLINK("https://cms.ls-nyc.org/matter/dynamic-profile/view/1874984","18-1874984")</f>
        <v>0</v>
      </c>
      <c r="B1200" t="s">
        <v>10</v>
      </c>
      <c r="C1200" t="s">
        <v>16</v>
      </c>
      <c r="D1200" t="s">
        <v>1005</v>
      </c>
      <c r="E1200" t="s">
        <v>1815</v>
      </c>
      <c r="F1200" t="s">
        <v>1853</v>
      </c>
      <c r="H1200" t="s">
        <v>1863</v>
      </c>
      <c r="J1200" t="s">
        <v>1869</v>
      </c>
    </row>
    <row r="1201" spans="1:10">
      <c r="A1201" s="1">
        <f>HYPERLINK("https://cms.ls-nyc.org/matter/dynamic-profile/view/1875044","18-1875044")</f>
        <v>0</v>
      </c>
      <c r="B1201" t="s">
        <v>10</v>
      </c>
      <c r="C1201" t="s">
        <v>30</v>
      </c>
      <c r="D1201" t="s">
        <v>1006</v>
      </c>
      <c r="E1201" t="s">
        <v>1815</v>
      </c>
      <c r="F1201" t="s">
        <v>1853</v>
      </c>
      <c r="H1201" t="s">
        <v>1863</v>
      </c>
      <c r="J1201" t="s">
        <v>1869</v>
      </c>
    </row>
    <row r="1202" spans="1:10">
      <c r="A1202" s="1">
        <f>HYPERLINK("https://cms.ls-nyc.org/matter/dynamic-profile/view/1875094","18-1875094")</f>
        <v>0</v>
      </c>
      <c r="B1202" t="s">
        <v>12</v>
      </c>
      <c r="C1202" t="s">
        <v>40</v>
      </c>
      <c r="D1202" t="s">
        <v>1007</v>
      </c>
      <c r="E1202" t="s">
        <v>1846</v>
      </c>
      <c r="F1202" t="s">
        <v>1853</v>
      </c>
      <c r="G1202" t="s">
        <v>1861</v>
      </c>
      <c r="J1202" t="s">
        <v>1869</v>
      </c>
    </row>
    <row r="1203" spans="1:10">
      <c r="A1203" s="1">
        <f>HYPERLINK("https://cms.ls-nyc.org/matter/dynamic-profile/view/1874923","18-1874923")</f>
        <v>0</v>
      </c>
      <c r="B1203" t="s">
        <v>12</v>
      </c>
      <c r="C1203" t="s">
        <v>33</v>
      </c>
      <c r="D1203" t="s">
        <v>155</v>
      </c>
      <c r="E1203" t="s">
        <v>1807</v>
      </c>
      <c r="F1203" t="s">
        <v>1853</v>
      </c>
      <c r="H1203" t="s">
        <v>1863</v>
      </c>
      <c r="J1203" t="s">
        <v>1869</v>
      </c>
    </row>
    <row r="1204" spans="1:10">
      <c r="A1204" s="1">
        <f>HYPERLINK("https://cms.ls-nyc.org/matter/dynamic-profile/view/1874877","18-1874877")</f>
        <v>0</v>
      </c>
      <c r="B1204" t="s">
        <v>12</v>
      </c>
      <c r="C1204" t="s">
        <v>49</v>
      </c>
      <c r="D1204" t="s">
        <v>954</v>
      </c>
      <c r="E1204" t="s">
        <v>1822</v>
      </c>
      <c r="G1204" t="s">
        <v>1861</v>
      </c>
      <c r="J1204" t="s">
        <v>1867</v>
      </c>
    </row>
    <row r="1205" spans="1:10">
      <c r="A1205" s="1">
        <f>HYPERLINK("https://cms.ls-nyc.org/matter/dynamic-profile/view/1874896","18-1874896")</f>
        <v>0</v>
      </c>
      <c r="B1205" t="s">
        <v>10</v>
      </c>
      <c r="C1205" t="s">
        <v>17</v>
      </c>
      <c r="D1205" t="s">
        <v>1008</v>
      </c>
      <c r="E1205" t="s">
        <v>1815</v>
      </c>
      <c r="F1205" t="s">
        <v>1853</v>
      </c>
      <c r="H1205" t="s">
        <v>1863</v>
      </c>
      <c r="J1205" t="s">
        <v>1867</v>
      </c>
    </row>
    <row r="1206" spans="1:10">
      <c r="A1206" s="1">
        <f>HYPERLINK("https://cms.ls-nyc.org/matter/dynamic-profile/view/1874908","18-1874908")</f>
        <v>0</v>
      </c>
      <c r="B1206" t="s">
        <v>14</v>
      </c>
      <c r="C1206" t="s">
        <v>42</v>
      </c>
      <c r="D1206" t="s">
        <v>1009</v>
      </c>
      <c r="E1206" t="s">
        <v>1822</v>
      </c>
      <c r="F1206" t="s">
        <v>1855</v>
      </c>
      <c r="H1206" t="s">
        <v>1863</v>
      </c>
      <c r="J1206" t="s">
        <v>1867</v>
      </c>
    </row>
    <row r="1207" spans="1:10">
      <c r="A1207" s="1">
        <f>HYPERLINK("https://cms.ls-nyc.org/matter/dynamic-profile/view/1874928","18-1874928")</f>
        <v>0</v>
      </c>
      <c r="B1207" t="s">
        <v>10</v>
      </c>
      <c r="C1207" t="s">
        <v>16</v>
      </c>
      <c r="D1207" t="s">
        <v>1010</v>
      </c>
      <c r="E1207" t="s">
        <v>1814</v>
      </c>
      <c r="F1207" t="s">
        <v>1853</v>
      </c>
      <c r="H1207" t="s">
        <v>1863</v>
      </c>
      <c r="J1207" t="s">
        <v>1869</v>
      </c>
    </row>
    <row r="1208" spans="1:10">
      <c r="A1208" s="1">
        <f>HYPERLINK("https://cms.ls-nyc.org/matter/dynamic-profile/view/1874816","18-1874816")</f>
        <v>0</v>
      </c>
      <c r="B1208" t="s">
        <v>14</v>
      </c>
      <c r="C1208" t="s">
        <v>42</v>
      </c>
      <c r="D1208" t="s">
        <v>1011</v>
      </c>
      <c r="E1208" t="s">
        <v>1804</v>
      </c>
      <c r="F1208" t="s">
        <v>1853</v>
      </c>
      <c r="H1208" t="s">
        <v>1863</v>
      </c>
      <c r="J1208" t="s">
        <v>1867</v>
      </c>
    </row>
    <row r="1209" spans="1:10">
      <c r="A1209" s="1">
        <f>HYPERLINK("https://cms.ls-nyc.org/matter/dynamic-profile/view/1874772","18-1874772")</f>
        <v>0</v>
      </c>
      <c r="B1209" t="s">
        <v>15</v>
      </c>
      <c r="C1209" t="s">
        <v>27</v>
      </c>
      <c r="D1209" t="s">
        <v>1012</v>
      </c>
      <c r="E1209" t="s">
        <v>1816</v>
      </c>
      <c r="G1209" t="s">
        <v>1861</v>
      </c>
      <c r="J1209" t="s">
        <v>1867</v>
      </c>
    </row>
    <row r="1210" spans="1:10">
      <c r="A1210" s="1">
        <f>HYPERLINK("https://cms.ls-nyc.org/matter/dynamic-profile/view/1874786","18-1874786")</f>
        <v>0</v>
      </c>
      <c r="B1210" t="s">
        <v>10</v>
      </c>
      <c r="C1210" t="s">
        <v>16</v>
      </c>
      <c r="D1210" t="s">
        <v>1013</v>
      </c>
      <c r="E1210" t="s">
        <v>1815</v>
      </c>
      <c r="F1210" t="s">
        <v>1853</v>
      </c>
      <c r="H1210" t="s">
        <v>1863</v>
      </c>
      <c r="J1210" t="s">
        <v>1867</v>
      </c>
    </row>
    <row r="1211" spans="1:10">
      <c r="A1211" s="1">
        <f>HYPERLINK("https://cms.ls-nyc.org/matter/dynamic-profile/view/1874804","18-1874804")</f>
        <v>0</v>
      </c>
      <c r="B1211" t="s">
        <v>10</v>
      </c>
      <c r="C1211" t="s">
        <v>16</v>
      </c>
      <c r="D1211" t="s">
        <v>1014</v>
      </c>
      <c r="E1211" t="s">
        <v>1810</v>
      </c>
      <c r="F1211" t="s">
        <v>1853</v>
      </c>
      <c r="H1211" t="s">
        <v>1863</v>
      </c>
      <c r="J1211" t="s">
        <v>1869</v>
      </c>
    </row>
    <row r="1212" spans="1:10">
      <c r="A1212" s="1">
        <f>HYPERLINK("https://cms.ls-nyc.org/matter/dynamic-profile/view/1874808","18-1874808")</f>
        <v>0</v>
      </c>
      <c r="B1212" t="s">
        <v>14</v>
      </c>
      <c r="C1212" t="s">
        <v>42</v>
      </c>
      <c r="D1212" t="s">
        <v>1011</v>
      </c>
      <c r="E1212" t="s">
        <v>1807</v>
      </c>
      <c r="F1212" t="s">
        <v>1853</v>
      </c>
      <c r="H1212" t="s">
        <v>1863</v>
      </c>
      <c r="J1212" t="s">
        <v>1869</v>
      </c>
    </row>
    <row r="1213" spans="1:10">
      <c r="A1213" s="1">
        <f>HYPERLINK("https://cms.ls-nyc.org/matter/dynamic-profile/view/1874669","18-1874669")</f>
        <v>0</v>
      </c>
      <c r="B1213" t="s">
        <v>11</v>
      </c>
      <c r="C1213" t="s">
        <v>18</v>
      </c>
      <c r="D1213" t="s">
        <v>1015</v>
      </c>
      <c r="E1213" t="s">
        <v>1802</v>
      </c>
      <c r="F1213" t="s">
        <v>1858</v>
      </c>
      <c r="G1213" t="s">
        <v>1861</v>
      </c>
      <c r="H1213" t="s">
        <v>1864</v>
      </c>
      <c r="I1213" t="s">
        <v>1865</v>
      </c>
      <c r="J1213" t="s">
        <v>1866</v>
      </c>
    </row>
    <row r="1214" spans="1:10">
      <c r="A1214" s="1">
        <f>HYPERLINK("https://cms.ls-nyc.org/matter/dynamic-profile/view/1874672","18-1874672")</f>
        <v>0</v>
      </c>
      <c r="B1214" t="s">
        <v>13</v>
      </c>
      <c r="C1214" t="s">
        <v>29</v>
      </c>
      <c r="D1214" t="s">
        <v>1016</v>
      </c>
      <c r="E1214" t="s">
        <v>1803</v>
      </c>
      <c r="F1214" t="s">
        <v>1855</v>
      </c>
      <c r="H1214" t="s">
        <v>1863</v>
      </c>
      <c r="J1214" t="s">
        <v>1871</v>
      </c>
    </row>
    <row r="1215" spans="1:10">
      <c r="A1215" s="1">
        <f>HYPERLINK("https://cms.ls-nyc.org/matter/dynamic-profile/view/1874677","18-1874677")</f>
        <v>0</v>
      </c>
      <c r="B1215" t="s">
        <v>12</v>
      </c>
      <c r="C1215" t="s">
        <v>21</v>
      </c>
      <c r="D1215" t="s">
        <v>1017</v>
      </c>
      <c r="E1215" t="s">
        <v>1803</v>
      </c>
      <c r="F1215" t="s">
        <v>1855</v>
      </c>
      <c r="H1215" t="s">
        <v>1863</v>
      </c>
      <c r="J1215" t="s">
        <v>1871</v>
      </c>
    </row>
    <row r="1216" spans="1:10">
      <c r="A1216" s="1">
        <f>HYPERLINK("https://cms.ls-nyc.org/matter/dynamic-profile/view/1874682","18-1874682")</f>
        <v>0</v>
      </c>
      <c r="B1216" t="s">
        <v>13</v>
      </c>
      <c r="C1216" t="s">
        <v>29</v>
      </c>
      <c r="D1216" t="s">
        <v>201</v>
      </c>
      <c r="E1216" t="s">
        <v>1803</v>
      </c>
      <c r="F1216" t="s">
        <v>1855</v>
      </c>
      <c r="H1216" t="s">
        <v>1863</v>
      </c>
      <c r="J1216" t="s">
        <v>1870</v>
      </c>
    </row>
    <row r="1217" spans="1:10">
      <c r="A1217" s="1">
        <f>HYPERLINK("https://cms.ls-nyc.org/matter/dynamic-profile/view/1874685","18-1874685")</f>
        <v>0</v>
      </c>
      <c r="B1217" t="s">
        <v>10</v>
      </c>
      <c r="C1217" t="s">
        <v>16</v>
      </c>
      <c r="D1217" t="s">
        <v>1018</v>
      </c>
      <c r="E1217" t="s">
        <v>1819</v>
      </c>
      <c r="F1217" t="s">
        <v>1853</v>
      </c>
      <c r="H1217" t="s">
        <v>1863</v>
      </c>
      <c r="J1217" t="s">
        <v>1867</v>
      </c>
    </row>
    <row r="1218" spans="1:10">
      <c r="A1218" s="1">
        <f>HYPERLINK("https://cms.ls-nyc.org/matter/dynamic-profile/view/1874701","18-1874701")</f>
        <v>0</v>
      </c>
      <c r="B1218" t="s">
        <v>10</v>
      </c>
      <c r="C1218" t="s">
        <v>16</v>
      </c>
      <c r="D1218" t="s">
        <v>1019</v>
      </c>
      <c r="E1218" t="s">
        <v>1807</v>
      </c>
      <c r="F1218" t="s">
        <v>1853</v>
      </c>
      <c r="H1218" t="s">
        <v>1863</v>
      </c>
      <c r="J1218" t="s">
        <v>1869</v>
      </c>
    </row>
    <row r="1219" spans="1:10">
      <c r="A1219" s="1">
        <f>HYPERLINK("https://cms.ls-nyc.org/matter/dynamic-profile/view/1874607","18-1874607")</f>
        <v>0</v>
      </c>
      <c r="B1219" t="s">
        <v>14</v>
      </c>
      <c r="C1219" t="s">
        <v>28</v>
      </c>
      <c r="D1219" t="s">
        <v>1020</v>
      </c>
      <c r="E1219" t="s">
        <v>1830</v>
      </c>
      <c r="F1219" t="s">
        <v>1858</v>
      </c>
      <c r="G1219" t="s">
        <v>1861</v>
      </c>
      <c r="H1219" t="s">
        <v>1864</v>
      </c>
      <c r="J1219" t="s">
        <v>1868</v>
      </c>
    </row>
    <row r="1220" spans="1:10">
      <c r="A1220" s="1">
        <f>HYPERLINK("https://cms.ls-nyc.org/matter/dynamic-profile/view/1874610","18-1874610")</f>
        <v>0</v>
      </c>
      <c r="B1220" t="s">
        <v>14</v>
      </c>
      <c r="C1220" t="s">
        <v>28</v>
      </c>
      <c r="D1220" t="s">
        <v>1021</v>
      </c>
      <c r="E1220" t="s">
        <v>1830</v>
      </c>
      <c r="F1220" t="s">
        <v>1858</v>
      </c>
      <c r="G1220" t="s">
        <v>1861</v>
      </c>
      <c r="H1220" t="s">
        <v>1864</v>
      </c>
      <c r="J1220" t="s">
        <v>1868</v>
      </c>
    </row>
    <row r="1221" spans="1:10">
      <c r="A1221" s="1">
        <f>HYPERLINK("https://cms.ls-nyc.org/matter/dynamic-profile/view/1874533","18-1874533")</f>
        <v>0</v>
      </c>
      <c r="B1221" t="s">
        <v>10</v>
      </c>
      <c r="C1221" t="s">
        <v>16</v>
      </c>
      <c r="D1221" t="s">
        <v>1022</v>
      </c>
      <c r="E1221" t="s">
        <v>1815</v>
      </c>
      <c r="F1221" t="s">
        <v>1853</v>
      </c>
      <c r="H1221" t="s">
        <v>1863</v>
      </c>
      <c r="J1221" t="s">
        <v>1867</v>
      </c>
    </row>
    <row r="1222" spans="1:10">
      <c r="A1222" s="1">
        <f>HYPERLINK("https://cms.ls-nyc.org/matter/dynamic-profile/view/1874559","18-1874559")</f>
        <v>0</v>
      </c>
      <c r="B1222" t="s">
        <v>14</v>
      </c>
      <c r="C1222" t="s">
        <v>31</v>
      </c>
      <c r="D1222" t="s">
        <v>1023</v>
      </c>
      <c r="E1222" t="s">
        <v>1844</v>
      </c>
      <c r="F1222" t="s">
        <v>1859</v>
      </c>
      <c r="H1222" t="s">
        <v>1863</v>
      </c>
      <c r="J1222" t="s">
        <v>1868</v>
      </c>
    </row>
    <row r="1223" spans="1:10">
      <c r="A1223" s="1">
        <f>HYPERLINK("https://cms.ls-nyc.org/matter/dynamic-profile/view/1874634","18-1874634")</f>
        <v>0</v>
      </c>
      <c r="B1223" t="s">
        <v>14</v>
      </c>
      <c r="C1223" t="s">
        <v>42</v>
      </c>
      <c r="D1223" t="s">
        <v>584</v>
      </c>
      <c r="E1223" t="s">
        <v>1803</v>
      </c>
      <c r="F1223" t="s">
        <v>1855</v>
      </c>
      <c r="H1223" t="s">
        <v>1863</v>
      </c>
      <c r="J1223" t="s">
        <v>1870</v>
      </c>
    </row>
    <row r="1224" spans="1:10">
      <c r="A1224" s="1">
        <f>HYPERLINK("https://cms.ls-nyc.org/matter/dynamic-profile/view/1874657","18-1874657")</f>
        <v>0</v>
      </c>
      <c r="B1224" t="s">
        <v>12</v>
      </c>
      <c r="C1224" t="s">
        <v>21</v>
      </c>
      <c r="D1224" t="s">
        <v>1017</v>
      </c>
      <c r="E1224" t="s">
        <v>1809</v>
      </c>
      <c r="F1224" t="s">
        <v>1855</v>
      </c>
      <c r="H1224" t="s">
        <v>1863</v>
      </c>
      <c r="J1224" t="s">
        <v>1871</v>
      </c>
    </row>
    <row r="1225" spans="1:10">
      <c r="A1225" s="1">
        <f>HYPERLINK("https://cms.ls-nyc.org/matter/dynamic-profile/view/1874404","18-1874404")</f>
        <v>0</v>
      </c>
      <c r="B1225" t="s">
        <v>10</v>
      </c>
      <c r="C1225" t="s">
        <v>16</v>
      </c>
      <c r="D1225" t="s">
        <v>1024</v>
      </c>
      <c r="E1225" t="s">
        <v>1815</v>
      </c>
      <c r="F1225" t="s">
        <v>1853</v>
      </c>
      <c r="H1225" t="s">
        <v>1863</v>
      </c>
      <c r="J1225" t="s">
        <v>1867</v>
      </c>
    </row>
    <row r="1226" spans="1:10">
      <c r="A1226" s="1">
        <f>HYPERLINK("https://cms.ls-nyc.org/matter/dynamic-profile/view/1874516","18-1874516")</f>
        <v>0</v>
      </c>
      <c r="B1226" t="s">
        <v>10</v>
      </c>
      <c r="C1226" t="s">
        <v>16</v>
      </c>
      <c r="D1226" t="s">
        <v>733</v>
      </c>
      <c r="E1226" t="s">
        <v>1814</v>
      </c>
      <c r="F1226" t="s">
        <v>1853</v>
      </c>
      <c r="H1226" t="s">
        <v>1863</v>
      </c>
      <c r="J1226" t="s">
        <v>1869</v>
      </c>
    </row>
    <row r="1227" spans="1:10">
      <c r="A1227" s="1">
        <f>HYPERLINK("https://cms.ls-nyc.org/matter/dynamic-profile/view/1875958","18-1875958")</f>
        <v>0</v>
      </c>
      <c r="B1227" t="s">
        <v>15</v>
      </c>
      <c r="C1227" t="s">
        <v>59</v>
      </c>
      <c r="D1227" t="s">
        <v>1025</v>
      </c>
      <c r="E1227" t="s">
        <v>1825</v>
      </c>
      <c r="F1227" t="s">
        <v>1853</v>
      </c>
      <c r="G1227" t="s">
        <v>1861</v>
      </c>
      <c r="H1227" t="s">
        <v>1863</v>
      </c>
      <c r="J1227" t="s">
        <v>1867</v>
      </c>
    </row>
    <row r="1228" spans="1:10">
      <c r="A1228" s="1">
        <f>HYPERLINK("https://cms.ls-nyc.org/matter/dynamic-profile/view/1877669","18-1877669")</f>
        <v>0</v>
      </c>
      <c r="B1228" t="s">
        <v>14</v>
      </c>
      <c r="C1228" t="s">
        <v>42</v>
      </c>
      <c r="D1228" t="s">
        <v>1026</v>
      </c>
      <c r="E1228" t="s">
        <v>1799</v>
      </c>
      <c r="F1228" t="s">
        <v>1853</v>
      </c>
      <c r="H1228" t="s">
        <v>1863</v>
      </c>
      <c r="J1228" t="s">
        <v>1867</v>
      </c>
    </row>
    <row r="1229" spans="1:10">
      <c r="A1229" s="1">
        <f>HYPERLINK("https://cms.ls-nyc.org/matter/dynamic-profile/view/1877672","18-1877672")</f>
        <v>0</v>
      </c>
      <c r="B1229" t="s">
        <v>14</v>
      </c>
      <c r="C1229" t="s">
        <v>42</v>
      </c>
      <c r="D1229" t="s">
        <v>1027</v>
      </c>
      <c r="E1229" t="s">
        <v>1799</v>
      </c>
      <c r="F1229" t="s">
        <v>1853</v>
      </c>
      <c r="H1229" t="s">
        <v>1863</v>
      </c>
      <c r="J1229" t="s">
        <v>1867</v>
      </c>
    </row>
    <row r="1230" spans="1:10">
      <c r="A1230" s="1">
        <f>HYPERLINK("https://cms.ls-nyc.org/matter/dynamic-profile/view/1877674","18-1877674")</f>
        <v>0</v>
      </c>
      <c r="B1230" t="s">
        <v>14</v>
      </c>
      <c r="C1230" t="s">
        <v>42</v>
      </c>
      <c r="D1230" t="s">
        <v>1028</v>
      </c>
      <c r="E1230" t="s">
        <v>1799</v>
      </c>
      <c r="F1230" t="s">
        <v>1853</v>
      </c>
      <c r="H1230" t="s">
        <v>1863</v>
      </c>
      <c r="J1230" t="s">
        <v>1867</v>
      </c>
    </row>
    <row r="1231" spans="1:10">
      <c r="A1231" s="1">
        <f>HYPERLINK("https://cms.ls-nyc.org/matter/dynamic-profile/view/1874346","18-1874346")</f>
        <v>0</v>
      </c>
      <c r="B1231" t="s">
        <v>14</v>
      </c>
      <c r="C1231" t="s">
        <v>31</v>
      </c>
      <c r="D1231" t="s">
        <v>1029</v>
      </c>
      <c r="E1231" t="s">
        <v>1799</v>
      </c>
      <c r="F1231" t="s">
        <v>1853</v>
      </c>
      <c r="H1231" t="s">
        <v>1863</v>
      </c>
      <c r="J1231" t="s">
        <v>1867</v>
      </c>
    </row>
    <row r="1232" spans="1:10">
      <c r="A1232" s="1">
        <f>HYPERLINK("https://cms.ls-nyc.org/matter/dynamic-profile/view/1874268","18-1874268")</f>
        <v>0</v>
      </c>
      <c r="B1232" t="s">
        <v>15</v>
      </c>
      <c r="C1232" t="s">
        <v>34</v>
      </c>
      <c r="D1232" t="s">
        <v>1030</v>
      </c>
      <c r="E1232" t="s">
        <v>1809</v>
      </c>
      <c r="F1232" t="s">
        <v>1853</v>
      </c>
      <c r="H1232" t="s">
        <v>1863</v>
      </c>
      <c r="J1232" t="s">
        <v>1870</v>
      </c>
    </row>
    <row r="1233" spans="1:10">
      <c r="A1233" s="1">
        <f>HYPERLINK("https://cms.ls-nyc.org/matter/dynamic-profile/view/1874331","18-1874331")</f>
        <v>0</v>
      </c>
      <c r="B1233" t="s">
        <v>10</v>
      </c>
      <c r="C1233" t="s">
        <v>16</v>
      </c>
      <c r="D1233" t="s">
        <v>1031</v>
      </c>
      <c r="E1233" t="s">
        <v>1807</v>
      </c>
      <c r="F1233" t="s">
        <v>1853</v>
      </c>
      <c r="H1233" t="s">
        <v>1863</v>
      </c>
      <c r="J1233" t="s">
        <v>1869</v>
      </c>
    </row>
    <row r="1234" spans="1:10">
      <c r="A1234" s="1">
        <f>HYPERLINK("https://cms.ls-nyc.org/matter/dynamic-profile/view/1874364","18-1874364")</f>
        <v>0</v>
      </c>
      <c r="B1234" t="s">
        <v>10</v>
      </c>
      <c r="C1234" t="s">
        <v>16</v>
      </c>
      <c r="D1234" t="s">
        <v>1032</v>
      </c>
      <c r="E1234" t="s">
        <v>1815</v>
      </c>
      <c r="F1234" t="s">
        <v>1853</v>
      </c>
      <c r="H1234" t="s">
        <v>1863</v>
      </c>
      <c r="J1234" t="s">
        <v>1867</v>
      </c>
    </row>
    <row r="1235" spans="1:10">
      <c r="A1235" s="1">
        <f>HYPERLINK("https://cms.ls-nyc.org/matter/dynamic-profile/view/1874367","18-1874367")</f>
        <v>0</v>
      </c>
      <c r="B1235" t="s">
        <v>11</v>
      </c>
      <c r="C1235" t="s">
        <v>18</v>
      </c>
      <c r="D1235" t="s">
        <v>1033</v>
      </c>
      <c r="E1235" t="s">
        <v>1810</v>
      </c>
      <c r="F1235" t="s">
        <v>1859</v>
      </c>
      <c r="H1235" t="s">
        <v>1863</v>
      </c>
      <c r="J1235" t="s">
        <v>1868</v>
      </c>
    </row>
    <row r="1236" spans="1:10">
      <c r="A1236" s="1">
        <f>HYPERLINK("https://cms.ls-nyc.org/matter/dynamic-profile/view/1874250","18-1874250")</f>
        <v>0</v>
      </c>
      <c r="B1236" t="s">
        <v>10</v>
      </c>
      <c r="C1236" t="s">
        <v>17</v>
      </c>
      <c r="D1236" t="s">
        <v>1034</v>
      </c>
      <c r="E1236" t="s">
        <v>1807</v>
      </c>
      <c r="F1236" t="s">
        <v>1858</v>
      </c>
      <c r="H1236" t="s">
        <v>1863</v>
      </c>
      <c r="J1236" t="s">
        <v>1868</v>
      </c>
    </row>
    <row r="1237" spans="1:10">
      <c r="A1237" s="1">
        <f>HYPERLINK("https://cms.ls-nyc.org/matter/dynamic-profile/view/1874075","18-1874075")</f>
        <v>0</v>
      </c>
      <c r="B1237" t="s">
        <v>10</v>
      </c>
      <c r="C1237" t="s">
        <v>16</v>
      </c>
      <c r="D1237" t="s">
        <v>1035</v>
      </c>
      <c r="E1237" t="s">
        <v>1815</v>
      </c>
      <c r="F1237" t="s">
        <v>1858</v>
      </c>
      <c r="H1237" t="s">
        <v>1863</v>
      </c>
      <c r="J1237" t="s">
        <v>1868</v>
      </c>
    </row>
    <row r="1238" spans="1:10">
      <c r="A1238" s="1">
        <f>HYPERLINK("https://cms.ls-nyc.org/matter/dynamic-profile/view/1874042","18-1874042")</f>
        <v>0</v>
      </c>
      <c r="B1238" t="s">
        <v>10</v>
      </c>
      <c r="C1238" t="s">
        <v>16</v>
      </c>
      <c r="D1238" t="s">
        <v>1036</v>
      </c>
      <c r="E1238" t="s">
        <v>1815</v>
      </c>
      <c r="F1238" t="s">
        <v>1853</v>
      </c>
      <c r="H1238" t="s">
        <v>1863</v>
      </c>
      <c r="J1238" t="s">
        <v>1867</v>
      </c>
    </row>
    <row r="1239" spans="1:10">
      <c r="A1239" s="1">
        <f>HYPERLINK("https://cms.ls-nyc.org/matter/dynamic-profile/view/1873932","18-1873932")</f>
        <v>0</v>
      </c>
      <c r="B1239" t="s">
        <v>10</v>
      </c>
      <c r="C1239" t="s">
        <v>16</v>
      </c>
      <c r="D1239" t="s">
        <v>1037</v>
      </c>
      <c r="E1239" t="s">
        <v>1815</v>
      </c>
      <c r="F1239" t="s">
        <v>1858</v>
      </c>
      <c r="G1239" t="s">
        <v>1861</v>
      </c>
      <c r="H1239" t="s">
        <v>1864</v>
      </c>
      <c r="J1239" t="s">
        <v>1868</v>
      </c>
    </row>
    <row r="1240" spans="1:10">
      <c r="A1240" s="1">
        <f>HYPERLINK("https://cms.ls-nyc.org/matter/dynamic-profile/view/1873921","18-1873921")</f>
        <v>0</v>
      </c>
      <c r="B1240" t="s">
        <v>10</v>
      </c>
      <c r="C1240" t="s">
        <v>16</v>
      </c>
      <c r="D1240" t="s">
        <v>1038</v>
      </c>
      <c r="E1240" t="s">
        <v>1815</v>
      </c>
      <c r="F1240" t="s">
        <v>1858</v>
      </c>
      <c r="G1240" t="s">
        <v>1861</v>
      </c>
      <c r="H1240" t="s">
        <v>1864</v>
      </c>
      <c r="J1240" t="s">
        <v>1868</v>
      </c>
    </row>
    <row r="1241" spans="1:10">
      <c r="A1241" s="1">
        <f>HYPERLINK("https://cms.ls-nyc.org/matter/dynamic-profile/view/1873864","18-1873864")</f>
        <v>0</v>
      </c>
      <c r="B1241" t="s">
        <v>10</v>
      </c>
      <c r="C1241" t="s">
        <v>16</v>
      </c>
      <c r="D1241" t="s">
        <v>1039</v>
      </c>
      <c r="E1241" t="s">
        <v>1815</v>
      </c>
      <c r="F1241" t="s">
        <v>1858</v>
      </c>
      <c r="H1241" t="s">
        <v>1863</v>
      </c>
      <c r="J1241" t="s">
        <v>1868</v>
      </c>
    </row>
    <row r="1242" spans="1:10">
      <c r="A1242" s="1">
        <f>HYPERLINK("https://cms.ls-nyc.org/matter/dynamic-profile/view/1873887","18-1873887")</f>
        <v>0</v>
      </c>
      <c r="B1242" t="s">
        <v>10</v>
      </c>
      <c r="C1242" t="s">
        <v>16</v>
      </c>
      <c r="D1242" t="s">
        <v>1040</v>
      </c>
      <c r="E1242" t="s">
        <v>1807</v>
      </c>
      <c r="F1242" t="s">
        <v>1853</v>
      </c>
      <c r="H1242" t="s">
        <v>1863</v>
      </c>
      <c r="J1242" t="s">
        <v>1869</v>
      </c>
    </row>
    <row r="1243" spans="1:10">
      <c r="A1243" s="1">
        <f>HYPERLINK("https://cms.ls-nyc.org/matter/dynamic-profile/view/1873904","18-1873904")</f>
        <v>0</v>
      </c>
      <c r="B1243" t="s">
        <v>10</v>
      </c>
      <c r="C1243" t="s">
        <v>16</v>
      </c>
      <c r="D1243" t="s">
        <v>1041</v>
      </c>
      <c r="E1243" t="s">
        <v>1815</v>
      </c>
      <c r="F1243" t="s">
        <v>1853</v>
      </c>
      <c r="H1243" t="s">
        <v>1863</v>
      </c>
      <c r="J1243" t="s">
        <v>1869</v>
      </c>
    </row>
    <row r="1244" spans="1:10">
      <c r="A1244" s="1">
        <f>HYPERLINK("https://cms.ls-nyc.org/matter/dynamic-profile/view/1873922","18-1873922")</f>
        <v>0</v>
      </c>
      <c r="B1244" t="s">
        <v>12</v>
      </c>
      <c r="C1244" t="s">
        <v>40</v>
      </c>
      <c r="D1244" t="s">
        <v>1042</v>
      </c>
      <c r="E1244" t="s">
        <v>1809</v>
      </c>
      <c r="F1244" t="s">
        <v>1856</v>
      </c>
      <c r="H1244" t="s">
        <v>1863</v>
      </c>
      <c r="J1244" t="s">
        <v>1866</v>
      </c>
    </row>
    <row r="1245" spans="1:10">
      <c r="A1245" s="1">
        <f>HYPERLINK("https://cms.ls-nyc.org/matter/dynamic-profile/view/1873936","18-1873936")</f>
        <v>0</v>
      </c>
      <c r="B1245" t="s">
        <v>10</v>
      </c>
      <c r="C1245" t="s">
        <v>16</v>
      </c>
      <c r="D1245" t="s">
        <v>1043</v>
      </c>
      <c r="E1245" t="s">
        <v>1815</v>
      </c>
      <c r="F1245" t="s">
        <v>1853</v>
      </c>
      <c r="H1245" t="s">
        <v>1863</v>
      </c>
      <c r="J1245" t="s">
        <v>1869</v>
      </c>
    </row>
    <row r="1246" spans="1:10">
      <c r="A1246" s="1">
        <f>HYPERLINK("https://cms.ls-nyc.org/matter/dynamic-profile/view/1873938","18-1873938")</f>
        <v>0</v>
      </c>
      <c r="B1246" t="s">
        <v>10</v>
      </c>
      <c r="C1246" t="s">
        <v>17</v>
      </c>
      <c r="D1246" t="s">
        <v>1044</v>
      </c>
      <c r="E1246" t="s">
        <v>1815</v>
      </c>
      <c r="F1246" t="s">
        <v>1853</v>
      </c>
      <c r="H1246" t="s">
        <v>1863</v>
      </c>
      <c r="J1246" t="s">
        <v>1867</v>
      </c>
    </row>
    <row r="1247" spans="1:10">
      <c r="A1247" s="1">
        <f>HYPERLINK("https://cms.ls-nyc.org/matter/dynamic-profile/view/1873941","18-1873941")</f>
        <v>0</v>
      </c>
      <c r="B1247" t="s">
        <v>10</v>
      </c>
      <c r="C1247" t="s">
        <v>16</v>
      </c>
      <c r="D1247" t="s">
        <v>1045</v>
      </c>
      <c r="E1247" t="s">
        <v>1815</v>
      </c>
      <c r="F1247" t="s">
        <v>1853</v>
      </c>
      <c r="H1247" t="s">
        <v>1863</v>
      </c>
      <c r="J1247" t="s">
        <v>1867</v>
      </c>
    </row>
    <row r="1248" spans="1:10">
      <c r="A1248" s="1">
        <f>HYPERLINK("https://cms.ls-nyc.org/matter/dynamic-profile/view/1873970","18-1873970")</f>
        <v>0</v>
      </c>
      <c r="B1248" t="s">
        <v>10</v>
      </c>
      <c r="C1248" t="s">
        <v>16</v>
      </c>
      <c r="D1248" t="s">
        <v>1046</v>
      </c>
      <c r="E1248" t="s">
        <v>1807</v>
      </c>
      <c r="F1248" t="s">
        <v>1853</v>
      </c>
      <c r="H1248" t="s">
        <v>1863</v>
      </c>
      <c r="J1248" t="s">
        <v>1869</v>
      </c>
    </row>
    <row r="1249" spans="1:10">
      <c r="A1249" s="1">
        <f>HYPERLINK("https://cms.ls-nyc.org/matter/dynamic-profile/view/1873820","18-1873820")</f>
        <v>0</v>
      </c>
      <c r="B1249" t="s">
        <v>10</v>
      </c>
      <c r="C1249" t="s">
        <v>16</v>
      </c>
      <c r="D1249" t="s">
        <v>1047</v>
      </c>
      <c r="E1249" t="s">
        <v>1810</v>
      </c>
      <c r="F1249" t="s">
        <v>1858</v>
      </c>
      <c r="H1249" t="s">
        <v>1863</v>
      </c>
      <c r="J1249" t="s">
        <v>1868</v>
      </c>
    </row>
    <row r="1250" spans="1:10">
      <c r="A1250" s="1">
        <f>HYPERLINK("https://cms.ls-nyc.org/matter/dynamic-profile/view/1873774","18-1873774")</f>
        <v>0</v>
      </c>
      <c r="B1250" t="s">
        <v>12</v>
      </c>
      <c r="C1250" t="s">
        <v>49</v>
      </c>
      <c r="D1250" t="s">
        <v>1048</v>
      </c>
      <c r="E1250" t="s">
        <v>1823</v>
      </c>
      <c r="G1250" t="s">
        <v>1861</v>
      </c>
      <c r="J1250" t="s">
        <v>1868</v>
      </c>
    </row>
    <row r="1251" spans="1:10">
      <c r="A1251" s="1">
        <f>HYPERLINK("https://cms.ls-nyc.org/matter/dynamic-profile/view/1873723","18-1873723")</f>
        <v>0</v>
      </c>
      <c r="B1251" t="s">
        <v>10</v>
      </c>
      <c r="C1251" t="s">
        <v>16</v>
      </c>
      <c r="D1251" t="s">
        <v>1049</v>
      </c>
      <c r="E1251" t="s">
        <v>1807</v>
      </c>
      <c r="F1251" t="s">
        <v>1853</v>
      </c>
      <c r="H1251" t="s">
        <v>1863</v>
      </c>
      <c r="J1251" t="s">
        <v>1869</v>
      </c>
    </row>
    <row r="1252" spans="1:10">
      <c r="A1252" s="1">
        <f>HYPERLINK("https://cms.ls-nyc.org/matter/dynamic-profile/view/1873734","18-1873734")</f>
        <v>0</v>
      </c>
      <c r="B1252" t="s">
        <v>10</v>
      </c>
      <c r="C1252" t="s">
        <v>16</v>
      </c>
      <c r="D1252" t="s">
        <v>1050</v>
      </c>
      <c r="E1252" t="s">
        <v>1815</v>
      </c>
      <c r="F1252" t="s">
        <v>1853</v>
      </c>
      <c r="H1252" t="s">
        <v>1863</v>
      </c>
      <c r="J1252" t="s">
        <v>1867</v>
      </c>
    </row>
    <row r="1253" spans="1:10">
      <c r="A1253" s="1">
        <f>HYPERLINK("https://cms.ls-nyc.org/matter/dynamic-profile/view/1873756","18-1873756")</f>
        <v>0</v>
      </c>
      <c r="B1253" t="s">
        <v>15</v>
      </c>
      <c r="C1253" t="s">
        <v>47</v>
      </c>
      <c r="D1253" t="s">
        <v>331</v>
      </c>
      <c r="E1253" t="s">
        <v>1807</v>
      </c>
      <c r="G1253" t="s">
        <v>1861</v>
      </c>
      <c r="J1253" t="s">
        <v>1869</v>
      </c>
    </row>
    <row r="1254" spans="1:10">
      <c r="A1254" s="1">
        <f>HYPERLINK("https://cms.ls-nyc.org/matter/dynamic-profile/view/1873681","18-1873681")</f>
        <v>0</v>
      </c>
      <c r="B1254" t="s">
        <v>15</v>
      </c>
      <c r="C1254" t="s">
        <v>56</v>
      </c>
      <c r="D1254" t="s">
        <v>1051</v>
      </c>
      <c r="F1254" t="s">
        <v>1858</v>
      </c>
      <c r="G1254" t="s">
        <v>1861</v>
      </c>
      <c r="H1254" t="s">
        <v>1864</v>
      </c>
      <c r="J1254" t="s">
        <v>1868</v>
      </c>
    </row>
    <row r="1255" spans="1:10">
      <c r="A1255" s="1">
        <f>HYPERLINK("https://cms.ls-nyc.org/matter/dynamic-profile/view/1873654","18-1873654")</f>
        <v>0</v>
      </c>
      <c r="B1255" t="s">
        <v>10</v>
      </c>
      <c r="C1255" t="s">
        <v>30</v>
      </c>
      <c r="D1255" t="s">
        <v>1052</v>
      </c>
      <c r="E1255" t="s">
        <v>1815</v>
      </c>
      <c r="F1255" t="s">
        <v>1858</v>
      </c>
      <c r="H1255" t="s">
        <v>1863</v>
      </c>
      <c r="J1255" t="s">
        <v>1868</v>
      </c>
    </row>
    <row r="1256" spans="1:10">
      <c r="A1256" s="1">
        <f>HYPERLINK("https://cms.ls-nyc.org/matter/dynamic-profile/view/1873593","18-1873593")</f>
        <v>0</v>
      </c>
      <c r="B1256" t="s">
        <v>10</v>
      </c>
      <c r="C1256" t="s">
        <v>30</v>
      </c>
      <c r="D1256" t="s">
        <v>1053</v>
      </c>
      <c r="E1256" t="s">
        <v>1815</v>
      </c>
      <c r="F1256" t="s">
        <v>1856</v>
      </c>
      <c r="H1256" t="s">
        <v>1863</v>
      </c>
      <c r="J1256" t="s">
        <v>1866</v>
      </c>
    </row>
    <row r="1257" spans="1:10">
      <c r="A1257" s="1">
        <f>HYPERLINK("https://cms.ls-nyc.org/matter/dynamic-profile/view/1873637","18-1873637")</f>
        <v>0</v>
      </c>
      <c r="B1257" t="s">
        <v>10</v>
      </c>
      <c r="C1257" t="s">
        <v>17</v>
      </c>
      <c r="D1257" t="s">
        <v>89</v>
      </c>
      <c r="E1257" t="s">
        <v>1815</v>
      </c>
      <c r="F1257" t="s">
        <v>1853</v>
      </c>
      <c r="H1257" t="s">
        <v>1863</v>
      </c>
      <c r="J1257" t="s">
        <v>1867</v>
      </c>
    </row>
    <row r="1258" spans="1:10">
      <c r="A1258" s="1">
        <f>HYPERLINK("https://cms.ls-nyc.org/matter/dynamic-profile/view/1873684","18-1873684")</f>
        <v>0</v>
      </c>
      <c r="B1258" t="s">
        <v>12</v>
      </c>
      <c r="C1258" t="s">
        <v>21</v>
      </c>
      <c r="D1258" t="s">
        <v>1054</v>
      </c>
      <c r="E1258" t="s">
        <v>1809</v>
      </c>
      <c r="F1258" t="s">
        <v>1855</v>
      </c>
      <c r="H1258" t="s">
        <v>1863</v>
      </c>
      <c r="J1258" t="s">
        <v>1871</v>
      </c>
    </row>
    <row r="1259" spans="1:10">
      <c r="A1259" s="1">
        <f>HYPERLINK("https://cms.ls-nyc.org/matter/dynamic-profile/view/1873686","18-1873686")</f>
        <v>0</v>
      </c>
      <c r="B1259" t="s">
        <v>12</v>
      </c>
      <c r="C1259" t="s">
        <v>21</v>
      </c>
      <c r="D1259" t="s">
        <v>1054</v>
      </c>
      <c r="E1259" t="s">
        <v>1803</v>
      </c>
      <c r="F1259" t="s">
        <v>1855</v>
      </c>
      <c r="H1259" t="s">
        <v>1863</v>
      </c>
      <c r="J1259" t="s">
        <v>1871</v>
      </c>
    </row>
    <row r="1260" spans="1:10">
      <c r="A1260" s="1">
        <f>HYPERLINK("https://cms.ls-nyc.org/matter/dynamic-profile/view/1873987","18-1873987")</f>
        <v>0</v>
      </c>
      <c r="B1260" t="s">
        <v>13</v>
      </c>
      <c r="C1260" t="s">
        <v>24</v>
      </c>
      <c r="D1260" t="s">
        <v>408</v>
      </c>
      <c r="E1260" t="s">
        <v>1803</v>
      </c>
      <c r="F1260" t="s">
        <v>1855</v>
      </c>
      <c r="H1260" t="s">
        <v>1863</v>
      </c>
      <c r="J1260" t="s">
        <v>1871</v>
      </c>
    </row>
    <row r="1261" spans="1:10">
      <c r="A1261" s="1">
        <f>HYPERLINK("https://cms.ls-nyc.org/matter/dynamic-profile/view/1873988","18-1873988")</f>
        <v>0</v>
      </c>
      <c r="B1261" t="s">
        <v>13</v>
      </c>
      <c r="C1261" t="s">
        <v>24</v>
      </c>
      <c r="D1261" t="s">
        <v>1055</v>
      </c>
      <c r="E1261" t="s">
        <v>1803</v>
      </c>
      <c r="F1261" t="s">
        <v>1855</v>
      </c>
      <c r="H1261" t="s">
        <v>1863</v>
      </c>
      <c r="J1261" t="s">
        <v>1871</v>
      </c>
    </row>
    <row r="1262" spans="1:10">
      <c r="A1262" s="1">
        <f>HYPERLINK("https://cms.ls-nyc.org/matter/dynamic-profile/view/1873499","18-1873499")</f>
        <v>0</v>
      </c>
      <c r="B1262" t="s">
        <v>10</v>
      </c>
      <c r="C1262" t="s">
        <v>16</v>
      </c>
      <c r="D1262" t="s">
        <v>1056</v>
      </c>
      <c r="E1262" t="s">
        <v>1815</v>
      </c>
      <c r="F1262" t="s">
        <v>1858</v>
      </c>
      <c r="G1262" t="s">
        <v>1861</v>
      </c>
      <c r="H1262" t="s">
        <v>1864</v>
      </c>
      <c r="J1262" t="s">
        <v>1868</v>
      </c>
    </row>
    <row r="1263" spans="1:10">
      <c r="A1263" s="1">
        <f>HYPERLINK("https://cms.ls-nyc.org/matter/dynamic-profile/view/1873524","18-1873524")</f>
        <v>0</v>
      </c>
      <c r="B1263" t="s">
        <v>10</v>
      </c>
      <c r="C1263" t="s">
        <v>30</v>
      </c>
      <c r="D1263" t="s">
        <v>1057</v>
      </c>
      <c r="E1263" t="s">
        <v>1815</v>
      </c>
      <c r="F1263" t="s">
        <v>1858</v>
      </c>
      <c r="H1263" t="s">
        <v>1863</v>
      </c>
      <c r="J1263" t="s">
        <v>1868</v>
      </c>
    </row>
    <row r="1264" spans="1:10">
      <c r="A1264" s="1">
        <f>HYPERLINK("https://cms.ls-nyc.org/matter/dynamic-profile/view/1871302","18-1871302")</f>
        <v>0</v>
      </c>
      <c r="B1264" t="s">
        <v>13</v>
      </c>
      <c r="C1264" t="s">
        <v>57</v>
      </c>
      <c r="D1264" t="s">
        <v>591</v>
      </c>
      <c r="F1264" t="s">
        <v>1857</v>
      </c>
      <c r="H1264" t="s">
        <v>1863</v>
      </c>
      <c r="J1264" t="s">
        <v>1869</v>
      </c>
    </row>
    <row r="1265" spans="1:10">
      <c r="A1265" s="1">
        <f>HYPERLINK("https://cms.ls-nyc.org/matter/dynamic-profile/view/1873517","18-1873517")</f>
        <v>0</v>
      </c>
      <c r="B1265" t="s">
        <v>14</v>
      </c>
      <c r="C1265" t="s">
        <v>31</v>
      </c>
      <c r="D1265" t="s">
        <v>1058</v>
      </c>
      <c r="E1265" t="s">
        <v>1799</v>
      </c>
      <c r="F1265" t="s">
        <v>1853</v>
      </c>
      <c r="H1265" t="s">
        <v>1863</v>
      </c>
      <c r="J1265" t="s">
        <v>1867</v>
      </c>
    </row>
    <row r="1266" spans="1:10">
      <c r="A1266" s="1">
        <f>HYPERLINK("https://cms.ls-nyc.org/matter/dynamic-profile/view/1868371","18-1868371")</f>
        <v>0</v>
      </c>
      <c r="B1266" t="s">
        <v>13</v>
      </c>
      <c r="C1266" t="s">
        <v>43</v>
      </c>
      <c r="D1266" t="s">
        <v>1059</v>
      </c>
      <c r="E1266" t="s">
        <v>1809</v>
      </c>
      <c r="F1266" t="s">
        <v>1855</v>
      </c>
      <c r="H1266" t="s">
        <v>1863</v>
      </c>
      <c r="J1266" t="s">
        <v>1870</v>
      </c>
    </row>
    <row r="1267" spans="1:10">
      <c r="A1267" s="1">
        <f>HYPERLINK("https://cms.ls-nyc.org/matter/dynamic-profile/view/1873490","18-1873490")</f>
        <v>0</v>
      </c>
      <c r="B1267" t="s">
        <v>15</v>
      </c>
      <c r="C1267" t="s">
        <v>47</v>
      </c>
      <c r="D1267" t="s">
        <v>1060</v>
      </c>
      <c r="E1267" t="s">
        <v>1808</v>
      </c>
      <c r="G1267" t="s">
        <v>1861</v>
      </c>
      <c r="J1267" t="s">
        <v>1867</v>
      </c>
    </row>
    <row r="1268" spans="1:10">
      <c r="A1268" s="1">
        <f>HYPERLINK("https://cms.ls-nyc.org/matter/dynamic-profile/view/1873496","18-1873496")</f>
        <v>0</v>
      </c>
      <c r="B1268" t="s">
        <v>12</v>
      </c>
      <c r="C1268" t="s">
        <v>21</v>
      </c>
      <c r="D1268" t="s">
        <v>1061</v>
      </c>
      <c r="E1268" t="s">
        <v>1807</v>
      </c>
      <c r="F1268" t="s">
        <v>1853</v>
      </c>
      <c r="H1268" t="s">
        <v>1863</v>
      </c>
      <c r="J1268" t="s">
        <v>1869</v>
      </c>
    </row>
    <row r="1269" spans="1:10">
      <c r="A1269" s="1">
        <f>HYPERLINK("https://cms.ls-nyc.org/matter/dynamic-profile/view/1873527","18-1873527")</f>
        <v>0</v>
      </c>
      <c r="B1269" t="s">
        <v>14</v>
      </c>
      <c r="C1269" t="s">
        <v>31</v>
      </c>
      <c r="D1269" t="s">
        <v>1062</v>
      </c>
      <c r="E1269" t="s">
        <v>1799</v>
      </c>
      <c r="F1269" t="s">
        <v>1853</v>
      </c>
      <c r="H1269" t="s">
        <v>1863</v>
      </c>
      <c r="J1269" t="s">
        <v>1867</v>
      </c>
    </row>
    <row r="1270" spans="1:10">
      <c r="A1270" s="1">
        <f>HYPERLINK("https://cms.ls-nyc.org/matter/dynamic-profile/view/1869287","18-1869287")</f>
        <v>0</v>
      </c>
      <c r="B1270" t="s">
        <v>13</v>
      </c>
      <c r="C1270" t="s">
        <v>29</v>
      </c>
      <c r="D1270" t="s">
        <v>1063</v>
      </c>
      <c r="E1270" t="s">
        <v>1803</v>
      </c>
      <c r="F1270" t="s">
        <v>1858</v>
      </c>
      <c r="H1270" t="s">
        <v>1863</v>
      </c>
      <c r="J1270" t="s">
        <v>1868</v>
      </c>
    </row>
    <row r="1271" spans="1:10">
      <c r="A1271" s="1">
        <f>HYPERLINK("https://cms.ls-nyc.org/matter/dynamic-profile/view/1870593","18-1870593")</f>
        <v>0</v>
      </c>
      <c r="B1271" t="s">
        <v>13</v>
      </c>
      <c r="C1271" t="s">
        <v>29</v>
      </c>
      <c r="D1271" t="s">
        <v>1064</v>
      </c>
      <c r="E1271" t="s">
        <v>1803</v>
      </c>
      <c r="F1271" t="s">
        <v>1855</v>
      </c>
      <c r="H1271" t="s">
        <v>1863</v>
      </c>
      <c r="J1271" t="s">
        <v>1871</v>
      </c>
    </row>
    <row r="1272" spans="1:10">
      <c r="A1272" s="1">
        <f>HYPERLINK("https://cms.ls-nyc.org/matter/dynamic-profile/view/1871236","18-1871236")</f>
        <v>0</v>
      </c>
      <c r="B1272" t="s">
        <v>13</v>
      </c>
      <c r="C1272" t="s">
        <v>24</v>
      </c>
      <c r="D1272" t="s">
        <v>1065</v>
      </c>
      <c r="E1272" t="s">
        <v>1803</v>
      </c>
      <c r="F1272" t="s">
        <v>1855</v>
      </c>
      <c r="H1272" t="s">
        <v>1863</v>
      </c>
      <c r="J1272" t="s">
        <v>1871</v>
      </c>
    </row>
    <row r="1273" spans="1:10">
      <c r="A1273" s="1">
        <f>HYPERLINK("https://cms.ls-nyc.org/matter/dynamic-profile/view/1873387","18-1873387")</f>
        <v>0</v>
      </c>
      <c r="B1273" t="s">
        <v>10</v>
      </c>
      <c r="C1273" t="s">
        <v>17</v>
      </c>
      <c r="D1273" t="s">
        <v>1066</v>
      </c>
      <c r="E1273" t="s">
        <v>1810</v>
      </c>
      <c r="F1273" t="s">
        <v>1853</v>
      </c>
      <c r="H1273" t="s">
        <v>1863</v>
      </c>
      <c r="J1273" t="s">
        <v>1869</v>
      </c>
    </row>
    <row r="1274" spans="1:10">
      <c r="A1274" s="1">
        <f>HYPERLINK("https://cms.ls-nyc.org/matter/dynamic-profile/view/1873397","18-1873397")</f>
        <v>0</v>
      </c>
      <c r="B1274" t="s">
        <v>14</v>
      </c>
      <c r="C1274" t="s">
        <v>42</v>
      </c>
      <c r="D1274" t="s">
        <v>541</v>
      </c>
      <c r="E1274" t="s">
        <v>1809</v>
      </c>
      <c r="F1274" t="s">
        <v>1855</v>
      </c>
      <c r="H1274" t="s">
        <v>1863</v>
      </c>
      <c r="J1274" t="s">
        <v>1871</v>
      </c>
    </row>
    <row r="1275" spans="1:10">
      <c r="A1275" s="1">
        <f>HYPERLINK("https://cms.ls-nyc.org/matter/dynamic-profile/view/1873407","18-1873407")</f>
        <v>0</v>
      </c>
      <c r="B1275" t="s">
        <v>14</v>
      </c>
      <c r="C1275" t="s">
        <v>42</v>
      </c>
      <c r="D1275" t="s">
        <v>542</v>
      </c>
      <c r="E1275" t="s">
        <v>1809</v>
      </c>
      <c r="F1275" t="s">
        <v>1855</v>
      </c>
      <c r="H1275" t="s">
        <v>1863</v>
      </c>
      <c r="J1275" t="s">
        <v>1870</v>
      </c>
    </row>
    <row r="1276" spans="1:10">
      <c r="A1276" s="1">
        <f>HYPERLINK("https://cms.ls-nyc.org/matter/dynamic-profile/view/1873185","18-1873185")</f>
        <v>0</v>
      </c>
      <c r="B1276" t="s">
        <v>14</v>
      </c>
      <c r="C1276" t="s">
        <v>31</v>
      </c>
      <c r="D1276" t="s">
        <v>119</v>
      </c>
      <c r="E1276" t="s">
        <v>1807</v>
      </c>
      <c r="F1276" t="s">
        <v>1858</v>
      </c>
      <c r="H1276" t="s">
        <v>1863</v>
      </c>
      <c r="J1276" t="s">
        <v>1868</v>
      </c>
    </row>
    <row r="1277" spans="1:10">
      <c r="A1277" s="1">
        <f>HYPERLINK("https://cms.ls-nyc.org/matter/dynamic-profile/view/1873144","18-1873144")</f>
        <v>0</v>
      </c>
      <c r="B1277" t="s">
        <v>14</v>
      </c>
      <c r="C1277" t="s">
        <v>31</v>
      </c>
      <c r="D1277" t="s">
        <v>649</v>
      </c>
      <c r="E1277" t="s">
        <v>1819</v>
      </c>
      <c r="F1277" t="s">
        <v>1853</v>
      </c>
      <c r="H1277" t="s">
        <v>1863</v>
      </c>
      <c r="J1277" t="s">
        <v>1867</v>
      </c>
    </row>
    <row r="1278" spans="1:10">
      <c r="A1278" s="1">
        <f>HYPERLINK("https://cms.ls-nyc.org/matter/dynamic-profile/view/1873176","18-1873176")</f>
        <v>0</v>
      </c>
      <c r="B1278" t="s">
        <v>10</v>
      </c>
      <c r="C1278" t="s">
        <v>16</v>
      </c>
      <c r="D1278" t="s">
        <v>1067</v>
      </c>
      <c r="E1278" t="s">
        <v>1815</v>
      </c>
      <c r="F1278" t="s">
        <v>1853</v>
      </c>
      <c r="H1278" t="s">
        <v>1863</v>
      </c>
      <c r="J1278" t="s">
        <v>1867</v>
      </c>
    </row>
    <row r="1279" spans="1:10">
      <c r="A1279" s="1">
        <f>HYPERLINK("https://cms.ls-nyc.org/matter/dynamic-profile/view/1873233","18-1873233")</f>
        <v>0</v>
      </c>
      <c r="B1279" t="s">
        <v>11</v>
      </c>
      <c r="C1279" t="s">
        <v>32</v>
      </c>
      <c r="D1279" t="s">
        <v>619</v>
      </c>
      <c r="E1279" t="s">
        <v>1828</v>
      </c>
      <c r="F1279" t="s">
        <v>1853</v>
      </c>
      <c r="H1279" t="s">
        <v>1863</v>
      </c>
      <c r="J1279" t="s">
        <v>1869</v>
      </c>
    </row>
    <row r="1280" spans="1:10">
      <c r="A1280" s="1">
        <f>HYPERLINK("https://cms.ls-nyc.org/matter/dynamic-profile/view/1873072","18-1873072")</f>
        <v>0</v>
      </c>
      <c r="B1280" t="s">
        <v>11</v>
      </c>
      <c r="C1280" t="s">
        <v>32</v>
      </c>
      <c r="D1280" t="s">
        <v>1068</v>
      </c>
      <c r="E1280" t="s">
        <v>1804</v>
      </c>
      <c r="F1280" t="s">
        <v>1853</v>
      </c>
      <c r="G1280" t="s">
        <v>1861</v>
      </c>
      <c r="J1280" t="s">
        <v>1867</v>
      </c>
    </row>
    <row r="1281" spans="1:10">
      <c r="A1281" s="1">
        <f>HYPERLINK("https://cms.ls-nyc.org/matter/dynamic-profile/view/1873104","18-1873104")</f>
        <v>0</v>
      </c>
      <c r="B1281" t="s">
        <v>12</v>
      </c>
      <c r="C1281" t="s">
        <v>21</v>
      </c>
      <c r="D1281" t="s">
        <v>1069</v>
      </c>
      <c r="E1281" t="s">
        <v>1804</v>
      </c>
      <c r="F1281" t="s">
        <v>1853</v>
      </c>
      <c r="H1281" t="s">
        <v>1863</v>
      </c>
      <c r="J1281" t="s">
        <v>1869</v>
      </c>
    </row>
    <row r="1282" spans="1:10">
      <c r="A1282" s="1">
        <f>HYPERLINK("https://cms.ls-nyc.org/matter/dynamic-profile/view/1872591","18-1872591")</f>
        <v>0</v>
      </c>
      <c r="B1282" t="s">
        <v>11</v>
      </c>
      <c r="C1282" t="s">
        <v>41</v>
      </c>
      <c r="D1282" t="s">
        <v>1070</v>
      </c>
      <c r="E1282" t="s">
        <v>1815</v>
      </c>
      <c r="F1282" t="s">
        <v>1853</v>
      </c>
      <c r="H1282" t="s">
        <v>1863</v>
      </c>
      <c r="J1282" t="s">
        <v>1867</v>
      </c>
    </row>
    <row r="1283" spans="1:10">
      <c r="A1283" s="1">
        <f>HYPERLINK("https://cms.ls-nyc.org/matter/dynamic-profile/view/1873053","18-1873053")</f>
        <v>0</v>
      </c>
      <c r="B1283" t="s">
        <v>12</v>
      </c>
      <c r="C1283" t="s">
        <v>21</v>
      </c>
      <c r="D1283" t="s">
        <v>375</v>
      </c>
      <c r="E1283" t="s">
        <v>1828</v>
      </c>
      <c r="F1283" t="s">
        <v>1853</v>
      </c>
      <c r="H1283" t="s">
        <v>1863</v>
      </c>
      <c r="J1283" t="s">
        <v>1869</v>
      </c>
    </row>
    <row r="1284" spans="1:10">
      <c r="A1284" s="1">
        <f>HYPERLINK("https://cms.ls-nyc.org/matter/dynamic-profile/view/1873055","18-1873055")</f>
        <v>0</v>
      </c>
      <c r="B1284" t="s">
        <v>12</v>
      </c>
      <c r="C1284" t="s">
        <v>21</v>
      </c>
      <c r="D1284" t="s">
        <v>375</v>
      </c>
      <c r="E1284" t="s">
        <v>1828</v>
      </c>
      <c r="F1284" t="s">
        <v>1853</v>
      </c>
      <c r="H1284" t="s">
        <v>1863</v>
      </c>
      <c r="J1284" t="s">
        <v>1869</v>
      </c>
    </row>
    <row r="1285" spans="1:10">
      <c r="A1285" s="1">
        <f>HYPERLINK("https://cms.ls-nyc.org/matter/dynamic-profile/view/1873080","18-1873080")</f>
        <v>0</v>
      </c>
      <c r="B1285" t="s">
        <v>11</v>
      </c>
      <c r="C1285" t="s">
        <v>41</v>
      </c>
      <c r="D1285" t="s">
        <v>1071</v>
      </c>
      <c r="E1285" t="s">
        <v>1800</v>
      </c>
      <c r="F1285" t="s">
        <v>1853</v>
      </c>
      <c r="H1285" t="s">
        <v>1863</v>
      </c>
      <c r="J1285" t="s">
        <v>1867</v>
      </c>
    </row>
    <row r="1286" spans="1:10">
      <c r="A1286" s="1">
        <f>HYPERLINK("https://cms.ls-nyc.org/matter/dynamic-profile/view/1873110","18-1873110")</f>
        <v>0</v>
      </c>
      <c r="B1286" t="s">
        <v>11</v>
      </c>
      <c r="C1286" t="s">
        <v>18</v>
      </c>
      <c r="D1286" t="s">
        <v>1072</v>
      </c>
      <c r="E1286" t="s">
        <v>1803</v>
      </c>
      <c r="F1286" t="s">
        <v>1855</v>
      </c>
      <c r="H1286" t="s">
        <v>1863</v>
      </c>
      <c r="J1286" t="s">
        <v>1870</v>
      </c>
    </row>
    <row r="1287" spans="1:10">
      <c r="A1287" s="1">
        <f>HYPERLINK("https://cms.ls-nyc.org/matter/dynamic-profile/view/1872875","18-1872875")</f>
        <v>0</v>
      </c>
      <c r="B1287" t="s">
        <v>14</v>
      </c>
      <c r="C1287" t="s">
        <v>31</v>
      </c>
      <c r="D1287" t="s">
        <v>1062</v>
      </c>
      <c r="E1287" t="s">
        <v>1800</v>
      </c>
      <c r="F1287" t="s">
        <v>1853</v>
      </c>
      <c r="H1287" t="s">
        <v>1863</v>
      </c>
      <c r="J1287" t="s">
        <v>1867</v>
      </c>
    </row>
    <row r="1288" spans="1:10">
      <c r="A1288" s="1">
        <f>HYPERLINK("https://cms.ls-nyc.org/matter/dynamic-profile/view/1872951","18-1872951")</f>
        <v>0</v>
      </c>
      <c r="B1288" t="s">
        <v>11</v>
      </c>
      <c r="C1288" t="s">
        <v>38</v>
      </c>
      <c r="D1288" t="s">
        <v>1073</v>
      </c>
      <c r="E1288" t="s">
        <v>1816</v>
      </c>
      <c r="F1288" t="s">
        <v>1853</v>
      </c>
      <c r="G1288" t="s">
        <v>1861</v>
      </c>
      <c r="J1288" t="s">
        <v>1867</v>
      </c>
    </row>
    <row r="1289" spans="1:10">
      <c r="A1289" s="1">
        <f>HYPERLINK("https://cms.ls-nyc.org/matter/dynamic-profile/view/1872960","18-1872960")</f>
        <v>0</v>
      </c>
      <c r="B1289" t="s">
        <v>12</v>
      </c>
      <c r="C1289" t="s">
        <v>21</v>
      </c>
      <c r="D1289" t="s">
        <v>1074</v>
      </c>
      <c r="E1289" t="s">
        <v>1807</v>
      </c>
      <c r="F1289" t="s">
        <v>1853</v>
      </c>
      <c r="H1289" t="s">
        <v>1863</v>
      </c>
      <c r="J1289" t="s">
        <v>1869</v>
      </c>
    </row>
    <row r="1290" spans="1:10">
      <c r="A1290" s="1">
        <f>HYPERLINK("https://cms.ls-nyc.org/matter/dynamic-profile/view/1872750","18-1872750")</f>
        <v>0</v>
      </c>
      <c r="B1290" t="s">
        <v>10</v>
      </c>
      <c r="C1290" t="s">
        <v>16</v>
      </c>
      <c r="D1290" t="s">
        <v>1075</v>
      </c>
      <c r="E1290" t="s">
        <v>1799</v>
      </c>
      <c r="F1290" t="s">
        <v>1853</v>
      </c>
      <c r="H1290" t="s">
        <v>1863</v>
      </c>
      <c r="J1290" t="s">
        <v>1867</v>
      </c>
    </row>
    <row r="1291" spans="1:10">
      <c r="A1291" s="1">
        <f>HYPERLINK("https://cms.ls-nyc.org/matter/dynamic-profile/view/1872781","18-1872781")</f>
        <v>0</v>
      </c>
      <c r="B1291" t="s">
        <v>10</v>
      </c>
      <c r="C1291" t="s">
        <v>16</v>
      </c>
      <c r="D1291" t="s">
        <v>1076</v>
      </c>
      <c r="E1291" t="s">
        <v>1814</v>
      </c>
      <c r="F1291" t="s">
        <v>1853</v>
      </c>
      <c r="H1291" t="s">
        <v>1863</v>
      </c>
      <c r="J1291" t="s">
        <v>1869</v>
      </c>
    </row>
    <row r="1292" spans="1:10">
      <c r="A1292" s="1">
        <f>HYPERLINK("https://cms.ls-nyc.org/matter/dynamic-profile/view/1872804","18-1872804")</f>
        <v>0</v>
      </c>
      <c r="B1292" t="s">
        <v>14</v>
      </c>
      <c r="C1292" t="s">
        <v>31</v>
      </c>
      <c r="D1292" t="s">
        <v>210</v>
      </c>
      <c r="E1292" t="s">
        <v>1803</v>
      </c>
      <c r="F1292" t="s">
        <v>1855</v>
      </c>
      <c r="H1292" t="s">
        <v>1863</v>
      </c>
      <c r="J1292" t="s">
        <v>1871</v>
      </c>
    </row>
    <row r="1293" spans="1:10">
      <c r="A1293" s="1">
        <f>HYPERLINK("https://cms.ls-nyc.org/matter/dynamic-profile/view/1872704","18-1872704")</f>
        <v>0</v>
      </c>
      <c r="B1293" t="s">
        <v>10</v>
      </c>
      <c r="C1293" t="s">
        <v>16</v>
      </c>
      <c r="D1293" t="s">
        <v>1077</v>
      </c>
      <c r="E1293" t="s">
        <v>1815</v>
      </c>
      <c r="F1293" t="s">
        <v>1858</v>
      </c>
      <c r="H1293" t="s">
        <v>1863</v>
      </c>
      <c r="J1293" t="s">
        <v>1868</v>
      </c>
    </row>
    <row r="1294" spans="1:10">
      <c r="A1294" s="1">
        <f>HYPERLINK("https://cms.ls-nyc.org/matter/dynamic-profile/view/1868658","18-1868658")</f>
        <v>0</v>
      </c>
      <c r="B1294" t="s">
        <v>13</v>
      </c>
      <c r="C1294" t="s">
        <v>29</v>
      </c>
      <c r="D1294" t="s">
        <v>1078</v>
      </c>
      <c r="E1294" t="s">
        <v>1803</v>
      </c>
      <c r="F1294" t="s">
        <v>1855</v>
      </c>
      <c r="H1294" t="s">
        <v>1863</v>
      </c>
      <c r="J1294" t="s">
        <v>1871</v>
      </c>
    </row>
    <row r="1295" spans="1:10">
      <c r="A1295" s="1">
        <f>HYPERLINK("https://cms.ls-nyc.org/matter/dynamic-profile/view/1872614","18-1872614")</f>
        <v>0</v>
      </c>
      <c r="B1295" t="s">
        <v>14</v>
      </c>
      <c r="C1295" t="s">
        <v>31</v>
      </c>
      <c r="D1295" t="s">
        <v>1079</v>
      </c>
      <c r="E1295" t="s">
        <v>1810</v>
      </c>
      <c r="F1295" t="s">
        <v>1853</v>
      </c>
      <c r="H1295" t="s">
        <v>1863</v>
      </c>
      <c r="J1295" t="s">
        <v>1869</v>
      </c>
    </row>
    <row r="1296" spans="1:10">
      <c r="A1296" s="1">
        <f>HYPERLINK("https://cms.ls-nyc.org/matter/dynamic-profile/view/1872689","18-1872689")</f>
        <v>0</v>
      </c>
      <c r="B1296" t="s">
        <v>12</v>
      </c>
      <c r="C1296" t="s">
        <v>21</v>
      </c>
      <c r="D1296" t="s">
        <v>1080</v>
      </c>
      <c r="E1296" t="s">
        <v>1807</v>
      </c>
      <c r="F1296" t="s">
        <v>1853</v>
      </c>
      <c r="H1296" t="s">
        <v>1863</v>
      </c>
      <c r="J1296" t="s">
        <v>1869</v>
      </c>
    </row>
    <row r="1297" spans="1:10">
      <c r="A1297" s="1">
        <f>HYPERLINK("https://cms.ls-nyc.org/matter/dynamic-profile/view/1871062","18-1871062")</f>
        <v>0</v>
      </c>
      <c r="B1297" t="s">
        <v>13</v>
      </c>
      <c r="C1297" t="s">
        <v>43</v>
      </c>
      <c r="D1297" t="s">
        <v>1081</v>
      </c>
      <c r="E1297" t="s">
        <v>1810</v>
      </c>
      <c r="F1297" t="s">
        <v>1853</v>
      </c>
      <c r="H1297" t="s">
        <v>1863</v>
      </c>
      <c r="J1297" t="s">
        <v>1869</v>
      </c>
    </row>
    <row r="1298" spans="1:10">
      <c r="A1298" s="1">
        <f>HYPERLINK("https://cms.ls-nyc.org/matter/dynamic-profile/view/1872477","18-1872477")</f>
        <v>0</v>
      </c>
      <c r="B1298" t="s">
        <v>10</v>
      </c>
      <c r="C1298" t="s">
        <v>16</v>
      </c>
      <c r="D1298" t="s">
        <v>1082</v>
      </c>
      <c r="E1298" t="s">
        <v>1814</v>
      </c>
      <c r="F1298" t="s">
        <v>1853</v>
      </c>
      <c r="H1298" t="s">
        <v>1863</v>
      </c>
      <c r="J1298" t="s">
        <v>1869</v>
      </c>
    </row>
    <row r="1299" spans="1:10">
      <c r="A1299" s="1">
        <f>HYPERLINK("https://cms.ls-nyc.org/matter/dynamic-profile/view/1872512","18-1872512")</f>
        <v>0</v>
      </c>
      <c r="B1299" t="s">
        <v>15</v>
      </c>
      <c r="C1299" t="s">
        <v>47</v>
      </c>
      <c r="D1299" t="s">
        <v>1083</v>
      </c>
      <c r="E1299" t="s">
        <v>1810</v>
      </c>
      <c r="G1299" t="s">
        <v>1861</v>
      </c>
      <c r="J1299" t="s">
        <v>1869</v>
      </c>
    </row>
    <row r="1300" spans="1:10">
      <c r="A1300" s="1">
        <f>HYPERLINK("https://cms.ls-nyc.org/matter/dynamic-profile/view/1872541","18-1872541")</f>
        <v>0</v>
      </c>
      <c r="B1300" t="s">
        <v>15</v>
      </c>
      <c r="C1300" t="s">
        <v>27</v>
      </c>
      <c r="D1300" t="s">
        <v>845</v>
      </c>
      <c r="E1300" t="s">
        <v>1808</v>
      </c>
      <c r="G1300" t="s">
        <v>1861</v>
      </c>
      <c r="J1300" t="s">
        <v>1867</v>
      </c>
    </row>
    <row r="1301" spans="1:10">
      <c r="A1301" s="1">
        <f>HYPERLINK("https://cms.ls-nyc.org/matter/dynamic-profile/view/1872560","18-1872560")</f>
        <v>0</v>
      </c>
      <c r="B1301" t="s">
        <v>15</v>
      </c>
      <c r="C1301" t="s">
        <v>27</v>
      </c>
      <c r="D1301" t="s">
        <v>1084</v>
      </c>
      <c r="E1301" t="s">
        <v>1808</v>
      </c>
      <c r="G1301" t="s">
        <v>1861</v>
      </c>
      <c r="J1301" t="s">
        <v>1867</v>
      </c>
    </row>
    <row r="1302" spans="1:10">
      <c r="A1302" s="1">
        <f>HYPERLINK("https://cms.ls-nyc.org/matter/dynamic-profile/view/1872564","18-1872564")</f>
        <v>0</v>
      </c>
      <c r="B1302" t="s">
        <v>15</v>
      </c>
      <c r="C1302" t="s">
        <v>27</v>
      </c>
      <c r="D1302" t="s">
        <v>1085</v>
      </c>
      <c r="E1302" t="s">
        <v>1808</v>
      </c>
      <c r="G1302" t="s">
        <v>1861</v>
      </c>
      <c r="J1302" t="s">
        <v>1867</v>
      </c>
    </row>
    <row r="1303" spans="1:10">
      <c r="A1303" s="1">
        <f>HYPERLINK("https://cms.ls-nyc.org/matter/dynamic-profile/view/1873466","18-1873466")</f>
        <v>0</v>
      </c>
      <c r="B1303" t="s">
        <v>12</v>
      </c>
      <c r="C1303" t="s">
        <v>33</v>
      </c>
      <c r="D1303" t="s">
        <v>1086</v>
      </c>
      <c r="E1303" t="s">
        <v>1803</v>
      </c>
      <c r="F1303" t="s">
        <v>1855</v>
      </c>
      <c r="H1303" t="s">
        <v>1863</v>
      </c>
      <c r="J1303" t="s">
        <v>1871</v>
      </c>
    </row>
    <row r="1304" spans="1:10">
      <c r="A1304" s="1">
        <f>HYPERLINK("https://cms.ls-nyc.org/matter/dynamic-profile/view/1872410","18-1872410")</f>
        <v>0</v>
      </c>
      <c r="B1304" t="s">
        <v>15</v>
      </c>
      <c r="C1304" t="s">
        <v>27</v>
      </c>
      <c r="D1304" t="s">
        <v>1087</v>
      </c>
      <c r="E1304" t="s">
        <v>1804</v>
      </c>
      <c r="F1304" t="s">
        <v>1853</v>
      </c>
      <c r="H1304" t="s">
        <v>1863</v>
      </c>
      <c r="J1304" t="s">
        <v>1869</v>
      </c>
    </row>
    <row r="1305" spans="1:10">
      <c r="A1305" s="1">
        <f>HYPERLINK("https://cms.ls-nyc.org/matter/dynamic-profile/view/1869598","18-1869598")</f>
        <v>0</v>
      </c>
      <c r="B1305" t="s">
        <v>13</v>
      </c>
      <c r="C1305" t="s">
        <v>24</v>
      </c>
      <c r="D1305" t="s">
        <v>1088</v>
      </c>
      <c r="E1305" t="s">
        <v>1803</v>
      </c>
      <c r="F1305" t="s">
        <v>1855</v>
      </c>
      <c r="H1305" t="s">
        <v>1863</v>
      </c>
      <c r="J1305" t="s">
        <v>1871</v>
      </c>
    </row>
    <row r="1306" spans="1:10">
      <c r="A1306" s="1">
        <f>HYPERLINK("https://cms.ls-nyc.org/matter/dynamic-profile/view/1869766","18-1869766")</f>
        <v>0</v>
      </c>
      <c r="B1306" t="s">
        <v>13</v>
      </c>
      <c r="C1306" t="s">
        <v>24</v>
      </c>
      <c r="D1306" t="s">
        <v>1089</v>
      </c>
      <c r="E1306" t="s">
        <v>1803</v>
      </c>
      <c r="F1306" t="s">
        <v>1855</v>
      </c>
      <c r="H1306" t="s">
        <v>1863</v>
      </c>
      <c r="J1306" t="s">
        <v>1871</v>
      </c>
    </row>
    <row r="1307" spans="1:10">
      <c r="A1307" s="1">
        <f>HYPERLINK("https://cms.ls-nyc.org/matter/dynamic-profile/view/1878258","18-1878258")</f>
        <v>0</v>
      </c>
      <c r="B1307" t="s">
        <v>14</v>
      </c>
      <c r="C1307" t="s">
        <v>31</v>
      </c>
      <c r="D1307" t="s">
        <v>1090</v>
      </c>
      <c r="E1307" t="s">
        <v>1799</v>
      </c>
      <c r="F1307" t="s">
        <v>1853</v>
      </c>
      <c r="H1307" t="s">
        <v>1863</v>
      </c>
      <c r="J1307" t="s">
        <v>1867</v>
      </c>
    </row>
    <row r="1308" spans="1:10">
      <c r="A1308" s="1">
        <f>HYPERLINK("https://cms.ls-nyc.org/matter/dynamic-profile/view/1872131","18-1872131")</f>
        <v>0</v>
      </c>
      <c r="B1308" t="s">
        <v>14</v>
      </c>
      <c r="C1308" t="s">
        <v>31</v>
      </c>
      <c r="D1308" t="s">
        <v>1090</v>
      </c>
      <c r="E1308" t="s">
        <v>1829</v>
      </c>
      <c r="F1308" t="s">
        <v>1853</v>
      </c>
      <c r="H1308" t="s">
        <v>1863</v>
      </c>
      <c r="J1308" t="s">
        <v>1867</v>
      </c>
    </row>
    <row r="1309" spans="1:10">
      <c r="A1309" s="1">
        <f>HYPERLINK("https://cms.ls-nyc.org/matter/dynamic-profile/view/1872105","18-1872105")</f>
        <v>0</v>
      </c>
      <c r="B1309" t="s">
        <v>10</v>
      </c>
      <c r="C1309" t="s">
        <v>16</v>
      </c>
      <c r="D1309" t="s">
        <v>1091</v>
      </c>
      <c r="E1309" t="s">
        <v>1814</v>
      </c>
      <c r="F1309" t="s">
        <v>1853</v>
      </c>
      <c r="H1309" t="s">
        <v>1863</v>
      </c>
      <c r="J1309" t="s">
        <v>1869</v>
      </c>
    </row>
    <row r="1310" spans="1:10">
      <c r="A1310" s="1">
        <f>HYPERLINK("https://cms.ls-nyc.org/matter/dynamic-profile/view/1871939","18-1871939")</f>
        <v>0</v>
      </c>
      <c r="B1310" t="s">
        <v>12</v>
      </c>
      <c r="C1310" t="s">
        <v>49</v>
      </c>
      <c r="D1310" t="s">
        <v>1092</v>
      </c>
      <c r="E1310" t="s">
        <v>1815</v>
      </c>
      <c r="F1310" t="s">
        <v>1856</v>
      </c>
      <c r="G1310" t="s">
        <v>1861</v>
      </c>
      <c r="H1310" t="s">
        <v>1863</v>
      </c>
      <c r="I1310" t="s">
        <v>1865</v>
      </c>
      <c r="J1310" t="s">
        <v>1866</v>
      </c>
    </row>
    <row r="1311" spans="1:10">
      <c r="A1311" s="1">
        <f>HYPERLINK("https://cms.ls-nyc.org/matter/dynamic-profile/view/1871493","18-1871493")</f>
        <v>0</v>
      </c>
      <c r="B1311" t="s">
        <v>13</v>
      </c>
      <c r="C1311" t="s">
        <v>29</v>
      </c>
      <c r="D1311" t="s">
        <v>515</v>
      </c>
      <c r="E1311" t="s">
        <v>1803</v>
      </c>
      <c r="F1311" t="s">
        <v>1855</v>
      </c>
      <c r="H1311" t="s">
        <v>1863</v>
      </c>
      <c r="J1311" t="s">
        <v>1870</v>
      </c>
    </row>
    <row r="1312" spans="1:10">
      <c r="A1312" s="1">
        <f>HYPERLINK("https://cms.ls-nyc.org/matter/dynamic-profile/view/1871941","18-1871941")</f>
        <v>0</v>
      </c>
      <c r="B1312" t="s">
        <v>12</v>
      </c>
      <c r="C1312" t="s">
        <v>20</v>
      </c>
      <c r="D1312" t="s">
        <v>1093</v>
      </c>
      <c r="G1312" t="s">
        <v>1861</v>
      </c>
      <c r="J1312" t="s">
        <v>1869</v>
      </c>
    </row>
    <row r="1313" spans="1:10">
      <c r="A1313" s="1">
        <f>HYPERLINK("https://cms.ls-nyc.org/matter/dynamic-profile/view/1871999","18-1871999")</f>
        <v>0</v>
      </c>
      <c r="B1313" t="s">
        <v>12</v>
      </c>
      <c r="C1313" t="s">
        <v>49</v>
      </c>
      <c r="D1313" t="s">
        <v>1094</v>
      </c>
      <c r="E1313" t="s">
        <v>1815</v>
      </c>
      <c r="G1313" t="s">
        <v>1861</v>
      </c>
      <c r="J1313" t="s">
        <v>1867</v>
      </c>
    </row>
    <row r="1314" spans="1:10">
      <c r="A1314" s="1">
        <f>HYPERLINK("https://cms.ls-nyc.org/matter/dynamic-profile/view/1871818","18-1871818")</f>
        <v>0</v>
      </c>
      <c r="B1314" t="s">
        <v>10</v>
      </c>
      <c r="C1314" t="s">
        <v>16</v>
      </c>
      <c r="D1314" t="s">
        <v>1095</v>
      </c>
      <c r="E1314" t="s">
        <v>1814</v>
      </c>
      <c r="F1314" t="s">
        <v>1858</v>
      </c>
      <c r="H1314" t="s">
        <v>1863</v>
      </c>
      <c r="J1314" t="s">
        <v>1868</v>
      </c>
    </row>
    <row r="1315" spans="1:10">
      <c r="A1315" s="1">
        <f>HYPERLINK("https://cms.ls-nyc.org/matter/dynamic-profile/view/1871883","18-1871883")</f>
        <v>0</v>
      </c>
      <c r="B1315" t="s">
        <v>13</v>
      </c>
      <c r="C1315" t="s">
        <v>24</v>
      </c>
      <c r="D1315" t="s">
        <v>1096</v>
      </c>
      <c r="E1315" t="s">
        <v>1804</v>
      </c>
      <c r="F1315" t="s">
        <v>1853</v>
      </c>
      <c r="H1315" t="s">
        <v>1863</v>
      </c>
      <c r="J1315" t="s">
        <v>1867</v>
      </c>
    </row>
    <row r="1316" spans="1:10">
      <c r="A1316" s="1">
        <f>HYPERLINK("https://cms.ls-nyc.org/matter/dynamic-profile/view/1871891","18-1871891")</f>
        <v>0</v>
      </c>
      <c r="B1316" t="s">
        <v>13</v>
      </c>
      <c r="C1316" t="s">
        <v>24</v>
      </c>
      <c r="D1316" t="s">
        <v>1097</v>
      </c>
      <c r="E1316" t="s">
        <v>1804</v>
      </c>
      <c r="F1316" t="s">
        <v>1853</v>
      </c>
      <c r="H1316" t="s">
        <v>1863</v>
      </c>
      <c r="J1316" t="s">
        <v>1867</v>
      </c>
    </row>
    <row r="1317" spans="1:10">
      <c r="A1317" s="1">
        <f>HYPERLINK("https://cms.ls-nyc.org/matter/dynamic-profile/view/1871776","18-1871776")</f>
        <v>0</v>
      </c>
      <c r="B1317" t="s">
        <v>12</v>
      </c>
      <c r="C1317" t="s">
        <v>49</v>
      </c>
      <c r="D1317" t="s">
        <v>1098</v>
      </c>
      <c r="E1317" t="s">
        <v>1804</v>
      </c>
      <c r="F1317" t="s">
        <v>1853</v>
      </c>
      <c r="G1317" t="s">
        <v>1861</v>
      </c>
      <c r="H1317" t="s">
        <v>1863</v>
      </c>
      <c r="J1317" t="s">
        <v>1867</v>
      </c>
    </row>
    <row r="1318" spans="1:10">
      <c r="A1318" s="1">
        <f>HYPERLINK("https://cms.ls-nyc.org/matter/dynamic-profile/view/1871881","18-1871881")</f>
        <v>0</v>
      </c>
      <c r="B1318" t="s">
        <v>13</v>
      </c>
      <c r="C1318" t="s">
        <v>24</v>
      </c>
      <c r="D1318" t="s">
        <v>1099</v>
      </c>
      <c r="E1318" t="s">
        <v>1804</v>
      </c>
      <c r="F1318" t="s">
        <v>1853</v>
      </c>
      <c r="H1318" t="s">
        <v>1863</v>
      </c>
      <c r="J1318" t="s">
        <v>1867</v>
      </c>
    </row>
    <row r="1319" spans="1:10">
      <c r="A1319" s="1">
        <f>HYPERLINK("https://cms.ls-nyc.org/matter/dynamic-profile/view/1871819","18-1871819")</f>
        <v>0</v>
      </c>
      <c r="B1319" t="s">
        <v>14</v>
      </c>
      <c r="C1319" t="s">
        <v>31</v>
      </c>
      <c r="D1319" t="s">
        <v>1058</v>
      </c>
      <c r="E1319" t="s">
        <v>1800</v>
      </c>
      <c r="F1319" t="s">
        <v>1853</v>
      </c>
      <c r="H1319" t="s">
        <v>1863</v>
      </c>
      <c r="J1319" t="s">
        <v>1867</v>
      </c>
    </row>
    <row r="1320" spans="1:10">
      <c r="A1320" s="1">
        <f>HYPERLINK("https://cms.ls-nyc.org/matter/dynamic-profile/view/1871827","18-1871827")</f>
        <v>0</v>
      </c>
      <c r="B1320" t="s">
        <v>10</v>
      </c>
      <c r="C1320" t="s">
        <v>16</v>
      </c>
      <c r="D1320" t="s">
        <v>1076</v>
      </c>
      <c r="E1320" t="s">
        <v>1805</v>
      </c>
      <c r="F1320" t="s">
        <v>1853</v>
      </c>
      <c r="H1320" t="s">
        <v>1863</v>
      </c>
      <c r="J1320" t="s">
        <v>1869</v>
      </c>
    </row>
    <row r="1321" spans="1:10">
      <c r="A1321" s="1">
        <f>HYPERLINK("https://cms.ls-nyc.org/matter/dynamic-profile/view/1871847","18-1871847")</f>
        <v>0</v>
      </c>
      <c r="B1321" t="s">
        <v>15</v>
      </c>
      <c r="C1321" t="s">
        <v>47</v>
      </c>
      <c r="D1321" t="s">
        <v>1100</v>
      </c>
      <c r="G1321" t="s">
        <v>1861</v>
      </c>
      <c r="J1321" t="s">
        <v>1866</v>
      </c>
    </row>
    <row r="1322" spans="1:10">
      <c r="A1322" s="1">
        <f>HYPERLINK("https://cms.ls-nyc.org/matter/dynamic-profile/view/1871737","18-1871737")</f>
        <v>0</v>
      </c>
      <c r="B1322" t="s">
        <v>12</v>
      </c>
      <c r="C1322" t="s">
        <v>49</v>
      </c>
      <c r="D1322" t="s">
        <v>1101</v>
      </c>
      <c r="E1322" t="s">
        <v>1815</v>
      </c>
      <c r="G1322" t="s">
        <v>1861</v>
      </c>
      <c r="J1322" t="s">
        <v>1868</v>
      </c>
    </row>
    <row r="1323" spans="1:10">
      <c r="A1323" s="1">
        <f>HYPERLINK("https://cms.ls-nyc.org/matter/dynamic-profile/view/1869623","18-1869623")</f>
        <v>0</v>
      </c>
      <c r="B1323" t="s">
        <v>10</v>
      </c>
      <c r="C1323" t="s">
        <v>16</v>
      </c>
      <c r="D1323" t="s">
        <v>877</v>
      </c>
      <c r="E1323" t="s">
        <v>1814</v>
      </c>
      <c r="F1323" t="s">
        <v>1853</v>
      </c>
      <c r="H1323" t="s">
        <v>1863</v>
      </c>
      <c r="J1323" t="s">
        <v>1869</v>
      </c>
    </row>
    <row r="1324" spans="1:10">
      <c r="A1324" s="1">
        <f>HYPERLINK("https://cms.ls-nyc.org/matter/dynamic-profile/view/1871746","18-1871746")</f>
        <v>0</v>
      </c>
      <c r="B1324" t="s">
        <v>10</v>
      </c>
      <c r="C1324" t="s">
        <v>16</v>
      </c>
      <c r="D1324" t="s">
        <v>1102</v>
      </c>
      <c r="E1324" t="s">
        <v>1816</v>
      </c>
      <c r="F1324" t="s">
        <v>1853</v>
      </c>
      <c r="H1324" t="s">
        <v>1863</v>
      </c>
      <c r="J1324" t="s">
        <v>1867</v>
      </c>
    </row>
    <row r="1325" spans="1:10">
      <c r="A1325" s="1">
        <f>HYPERLINK("https://cms.ls-nyc.org/matter/dynamic-profile/view/1869280","18-1869280")</f>
        <v>0</v>
      </c>
      <c r="B1325" t="s">
        <v>10</v>
      </c>
      <c r="C1325" t="s">
        <v>16</v>
      </c>
      <c r="D1325" t="s">
        <v>1103</v>
      </c>
      <c r="E1325" t="s">
        <v>1807</v>
      </c>
      <c r="F1325" t="s">
        <v>1853</v>
      </c>
      <c r="G1325" t="s">
        <v>1861</v>
      </c>
      <c r="H1325" t="s">
        <v>1864</v>
      </c>
      <c r="J1325" t="s">
        <v>1869</v>
      </c>
    </row>
    <row r="1326" spans="1:10">
      <c r="A1326" s="1">
        <f>HYPERLINK("https://cms.ls-nyc.org/matter/dynamic-profile/view/1871648","18-1871648")</f>
        <v>0</v>
      </c>
      <c r="B1326" t="s">
        <v>12</v>
      </c>
      <c r="C1326" t="s">
        <v>21</v>
      </c>
      <c r="D1326" t="s">
        <v>1104</v>
      </c>
      <c r="E1326" t="s">
        <v>1807</v>
      </c>
      <c r="F1326" t="s">
        <v>1853</v>
      </c>
      <c r="H1326" t="s">
        <v>1863</v>
      </c>
      <c r="J1326" t="s">
        <v>1869</v>
      </c>
    </row>
    <row r="1327" spans="1:10">
      <c r="A1327" s="1">
        <f>HYPERLINK("https://cms.ls-nyc.org/matter/dynamic-profile/view/1871662","18-1871662")</f>
        <v>0</v>
      </c>
      <c r="B1327" t="s">
        <v>12</v>
      </c>
      <c r="C1327" t="s">
        <v>21</v>
      </c>
      <c r="D1327" t="s">
        <v>1105</v>
      </c>
      <c r="E1327" t="s">
        <v>1807</v>
      </c>
      <c r="F1327" t="s">
        <v>1853</v>
      </c>
      <c r="H1327" t="s">
        <v>1863</v>
      </c>
      <c r="J1327" t="s">
        <v>1869</v>
      </c>
    </row>
    <row r="1328" spans="1:10">
      <c r="A1328" s="1">
        <f>HYPERLINK("https://cms.ls-nyc.org/matter/dynamic-profile/view/1871507","18-1871507")</f>
        <v>0</v>
      </c>
      <c r="B1328" t="s">
        <v>14</v>
      </c>
      <c r="C1328" t="s">
        <v>31</v>
      </c>
      <c r="D1328" t="s">
        <v>1106</v>
      </c>
      <c r="E1328" t="s">
        <v>1807</v>
      </c>
      <c r="F1328" t="s">
        <v>1858</v>
      </c>
      <c r="H1328" t="s">
        <v>1863</v>
      </c>
      <c r="J1328" t="s">
        <v>1868</v>
      </c>
    </row>
    <row r="1329" spans="1:10">
      <c r="A1329" s="1">
        <f>HYPERLINK("https://cms.ls-nyc.org/matter/dynamic-profile/view/1871468","18-1871468")</f>
        <v>0</v>
      </c>
      <c r="B1329" t="s">
        <v>13</v>
      </c>
      <c r="C1329" t="s">
        <v>24</v>
      </c>
      <c r="D1329" t="s">
        <v>1107</v>
      </c>
      <c r="E1329" t="s">
        <v>1815</v>
      </c>
      <c r="F1329" t="s">
        <v>1853</v>
      </c>
      <c r="H1329" t="s">
        <v>1863</v>
      </c>
      <c r="J1329" t="s">
        <v>1867</v>
      </c>
    </row>
    <row r="1330" spans="1:10">
      <c r="A1330" s="1">
        <f>HYPERLINK("https://cms.ls-nyc.org/matter/dynamic-profile/view/1871487","18-1871487")</f>
        <v>0</v>
      </c>
      <c r="B1330" t="s">
        <v>11</v>
      </c>
      <c r="C1330" t="s">
        <v>41</v>
      </c>
      <c r="D1330" t="s">
        <v>1108</v>
      </c>
      <c r="E1330" t="s">
        <v>1815</v>
      </c>
      <c r="F1330" t="s">
        <v>1853</v>
      </c>
      <c r="G1330" t="s">
        <v>1861</v>
      </c>
      <c r="J1330" t="s">
        <v>1869</v>
      </c>
    </row>
    <row r="1331" spans="1:10">
      <c r="A1331" s="1">
        <f>HYPERLINK("https://cms.ls-nyc.org/matter/dynamic-profile/view/1871513","18-1871513")</f>
        <v>0</v>
      </c>
      <c r="B1331" t="s">
        <v>13</v>
      </c>
      <c r="C1331" t="s">
        <v>29</v>
      </c>
      <c r="D1331" t="s">
        <v>1109</v>
      </c>
      <c r="E1331" t="s">
        <v>1807</v>
      </c>
      <c r="F1331" t="s">
        <v>1853</v>
      </c>
      <c r="H1331" t="s">
        <v>1863</v>
      </c>
      <c r="J1331" t="s">
        <v>1869</v>
      </c>
    </row>
    <row r="1332" spans="1:10">
      <c r="A1332" s="1">
        <f>HYPERLINK("https://cms.ls-nyc.org/matter/dynamic-profile/view/1865601","18-1865601")</f>
        <v>0</v>
      </c>
      <c r="B1332" t="s">
        <v>10</v>
      </c>
      <c r="C1332" t="s">
        <v>16</v>
      </c>
      <c r="D1332" t="s">
        <v>1110</v>
      </c>
      <c r="E1332" t="s">
        <v>1815</v>
      </c>
      <c r="F1332" t="s">
        <v>1853</v>
      </c>
      <c r="H1332" t="s">
        <v>1863</v>
      </c>
      <c r="J1332" t="s">
        <v>1868</v>
      </c>
    </row>
    <row r="1333" spans="1:10">
      <c r="A1333" s="1">
        <f>HYPERLINK("https://cms.ls-nyc.org/matter/dynamic-profile/view/1871049","18-1871049")</f>
        <v>0</v>
      </c>
      <c r="B1333" t="s">
        <v>13</v>
      </c>
      <c r="C1333" t="s">
        <v>29</v>
      </c>
      <c r="D1333" t="s">
        <v>984</v>
      </c>
      <c r="E1333" t="s">
        <v>1809</v>
      </c>
      <c r="F1333" t="s">
        <v>1855</v>
      </c>
      <c r="H1333" t="s">
        <v>1863</v>
      </c>
      <c r="J1333" t="s">
        <v>1870</v>
      </c>
    </row>
    <row r="1334" spans="1:10">
      <c r="A1334" s="1">
        <f>HYPERLINK("https://cms.ls-nyc.org/matter/dynamic-profile/view/1871415","18-1871415")</f>
        <v>0</v>
      </c>
      <c r="B1334" t="s">
        <v>15</v>
      </c>
      <c r="C1334" t="s">
        <v>56</v>
      </c>
      <c r="D1334" t="s">
        <v>1111</v>
      </c>
      <c r="E1334" t="s">
        <v>1828</v>
      </c>
      <c r="F1334" t="s">
        <v>1853</v>
      </c>
      <c r="H1334" t="s">
        <v>1863</v>
      </c>
      <c r="J1334" t="s">
        <v>1869</v>
      </c>
    </row>
    <row r="1335" spans="1:10">
      <c r="A1335" s="1">
        <f>HYPERLINK("https://cms.ls-nyc.org/matter/dynamic-profile/view/1871428","18-1871428")</f>
        <v>0</v>
      </c>
      <c r="B1335" t="s">
        <v>11</v>
      </c>
      <c r="C1335" t="s">
        <v>38</v>
      </c>
      <c r="D1335" t="s">
        <v>1112</v>
      </c>
      <c r="E1335" t="s">
        <v>1822</v>
      </c>
      <c r="F1335" t="s">
        <v>1853</v>
      </c>
      <c r="G1335" t="s">
        <v>1861</v>
      </c>
      <c r="H1335" t="s">
        <v>1864</v>
      </c>
      <c r="J1335" t="s">
        <v>1867</v>
      </c>
    </row>
    <row r="1336" spans="1:10">
      <c r="A1336" s="1">
        <f>HYPERLINK("https://cms.ls-nyc.org/matter/dynamic-profile/view/1871901","18-1871901")</f>
        <v>0</v>
      </c>
      <c r="B1336" t="s">
        <v>13</v>
      </c>
      <c r="C1336" t="s">
        <v>29</v>
      </c>
      <c r="D1336" t="s">
        <v>1113</v>
      </c>
      <c r="E1336" t="s">
        <v>1809</v>
      </c>
      <c r="F1336" t="s">
        <v>1855</v>
      </c>
      <c r="H1336" t="s">
        <v>1863</v>
      </c>
      <c r="J1336" t="s">
        <v>1871</v>
      </c>
    </row>
    <row r="1337" spans="1:10">
      <c r="A1337" s="1">
        <f>HYPERLINK("https://cms.ls-nyc.org/matter/dynamic-profile/view/1871044","18-1871044")</f>
        <v>0</v>
      </c>
      <c r="B1337" t="s">
        <v>12</v>
      </c>
      <c r="C1337" t="s">
        <v>21</v>
      </c>
      <c r="D1337" t="s">
        <v>1114</v>
      </c>
      <c r="E1337" t="s">
        <v>1807</v>
      </c>
      <c r="G1337" t="s">
        <v>1862</v>
      </c>
      <c r="H1337" t="s">
        <v>1863</v>
      </c>
      <c r="J1337" t="s">
        <v>1868</v>
      </c>
    </row>
    <row r="1338" spans="1:10">
      <c r="A1338" s="1">
        <f>HYPERLINK("https://cms.ls-nyc.org/matter/dynamic-profile/view/1871055","18-1871055")</f>
        <v>0</v>
      </c>
      <c r="B1338" t="s">
        <v>12</v>
      </c>
      <c r="C1338" t="s">
        <v>21</v>
      </c>
      <c r="D1338" t="s">
        <v>1115</v>
      </c>
      <c r="E1338" t="s">
        <v>1807</v>
      </c>
      <c r="G1338" t="s">
        <v>1862</v>
      </c>
      <c r="H1338" t="s">
        <v>1863</v>
      </c>
      <c r="J1338" t="s">
        <v>1868</v>
      </c>
    </row>
    <row r="1339" spans="1:10">
      <c r="A1339" s="1">
        <f>HYPERLINK("https://cms.ls-nyc.org/matter/dynamic-profile/view/1870990","18-1870990")</f>
        <v>0</v>
      </c>
      <c r="B1339" t="s">
        <v>14</v>
      </c>
      <c r="C1339" t="s">
        <v>31</v>
      </c>
      <c r="D1339" t="s">
        <v>1116</v>
      </c>
      <c r="E1339" t="s">
        <v>1814</v>
      </c>
      <c r="F1339" t="s">
        <v>1859</v>
      </c>
      <c r="G1339" t="s">
        <v>1862</v>
      </c>
      <c r="H1339" t="s">
        <v>1863</v>
      </c>
      <c r="J1339" t="s">
        <v>1868</v>
      </c>
    </row>
    <row r="1340" spans="1:10">
      <c r="A1340" s="1">
        <f>HYPERLINK("https://cms.ls-nyc.org/matter/dynamic-profile/view/1871003","18-1871003")</f>
        <v>0</v>
      </c>
      <c r="B1340" t="s">
        <v>10</v>
      </c>
      <c r="C1340" t="s">
        <v>16</v>
      </c>
      <c r="D1340" t="s">
        <v>1117</v>
      </c>
      <c r="E1340" t="s">
        <v>1814</v>
      </c>
      <c r="F1340" t="s">
        <v>1853</v>
      </c>
      <c r="G1340" t="s">
        <v>1862</v>
      </c>
      <c r="H1340" t="s">
        <v>1863</v>
      </c>
      <c r="J1340" t="s">
        <v>1869</v>
      </c>
    </row>
    <row r="1341" spans="1:10">
      <c r="A1341" s="1">
        <f>HYPERLINK("https://cms.ls-nyc.org/matter/dynamic-profile/view/1871019","18-1871019")</f>
        <v>0</v>
      </c>
      <c r="B1341" t="s">
        <v>13</v>
      </c>
      <c r="C1341" t="s">
        <v>43</v>
      </c>
      <c r="D1341" t="s">
        <v>1118</v>
      </c>
      <c r="E1341" t="s">
        <v>1824</v>
      </c>
      <c r="F1341" t="s">
        <v>1855</v>
      </c>
      <c r="G1341" t="s">
        <v>1862</v>
      </c>
      <c r="J1341" t="s">
        <v>1871</v>
      </c>
    </row>
    <row r="1342" spans="1:10">
      <c r="A1342" s="1">
        <f>HYPERLINK("https://cms.ls-nyc.org/matter/dynamic-profile/view/1870924","18-1870924")</f>
        <v>0</v>
      </c>
      <c r="B1342" t="s">
        <v>10</v>
      </c>
      <c r="C1342" t="s">
        <v>16</v>
      </c>
      <c r="D1342" t="s">
        <v>1119</v>
      </c>
      <c r="E1342" t="s">
        <v>1814</v>
      </c>
      <c r="F1342" t="s">
        <v>1853</v>
      </c>
      <c r="G1342" t="s">
        <v>1862</v>
      </c>
      <c r="J1342" t="s">
        <v>1868</v>
      </c>
    </row>
    <row r="1343" spans="1:10">
      <c r="A1343" s="1">
        <f>HYPERLINK("https://cms.ls-nyc.org/matter/dynamic-profile/view/1870967","18-1870967")</f>
        <v>0</v>
      </c>
      <c r="B1343" t="s">
        <v>15</v>
      </c>
      <c r="C1343" t="s">
        <v>59</v>
      </c>
      <c r="D1343" t="s">
        <v>1120</v>
      </c>
      <c r="E1343" t="s">
        <v>1816</v>
      </c>
      <c r="F1343" t="s">
        <v>1859</v>
      </c>
      <c r="G1343" t="s">
        <v>1862</v>
      </c>
      <c r="J1343" t="s">
        <v>1868</v>
      </c>
    </row>
    <row r="1344" spans="1:10">
      <c r="A1344" s="1">
        <f>HYPERLINK("https://cms.ls-nyc.org/matter/dynamic-profile/view/1870882","18-1870882")</f>
        <v>0</v>
      </c>
      <c r="B1344" t="s">
        <v>10</v>
      </c>
      <c r="C1344" t="s">
        <v>16</v>
      </c>
      <c r="D1344" t="s">
        <v>1121</v>
      </c>
      <c r="E1344" t="s">
        <v>1815</v>
      </c>
      <c r="F1344" t="s">
        <v>1853</v>
      </c>
      <c r="G1344" t="s">
        <v>1862</v>
      </c>
      <c r="H1344" t="s">
        <v>1863</v>
      </c>
      <c r="J1344" t="s">
        <v>1867</v>
      </c>
    </row>
    <row r="1345" spans="1:10">
      <c r="A1345" s="1">
        <f>HYPERLINK("https://cms.ls-nyc.org/matter/dynamic-profile/view/1870959","18-1870959")</f>
        <v>0</v>
      </c>
      <c r="B1345" t="s">
        <v>10</v>
      </c>
      <c r="C1345" t="s">
        <v>16</v>
      </c>
      <c r="D1345" t="s">
        <v>471</v>
      </c>
      <c r="E1345" t="s">
        <v>1814</v>
      </c>
      <c r="F1345" t="s">
        <v>1853</v>
      </c>
      <c r="G1345" t="s">
        <v>1862</v>
      </c>
      <c r="H1345" t="s">
        <v>1863</v>
      </c>
      <c r="J1345" t="s">
        <v>1869</v>
      </c>
    </row>
    <row r="1346" spans="1:10">
      <c r="A1346" s="1">
        <f>HYPERLINK("https://cms.ls-nyc.org/matter/dynamic-profile/view/1871009","18-1871009")</f>
        <v>0</v>
      </c>
      <c r="B1346" t="s">
        <v>13</v>
      </c>
      <c r="C1346" t="s">
        <v>24</v>
      </c>
      <c r="D1346" t="s">
        <v>1122</v>
      </c>
      <c r="E1346" t="s">
        <v>1805</v>
      </c>
      <c r="F1346" t="s">
        <v>1853</v>
      </c>
      <c r="G1346" t="s">
        <v>1862</v>
      </c>
      <c r="J1346" t="s">
        <v>1869</v>
      </c>
    </row>
    <row r="1347" spans="1:10">
      <c r="A1347" s="1">
        <f>HYPERLINK("https://cms.ls-nyc.org/matter/dynamic-profile/view/1871015","18-1871015")</f>
        <v>0</v>
      </c>
      <c r="B1347" t="s">
        <v>13</v>
      </c>
      <c r="C1347" t="s">
        <v>24</v>
      </c>
      <c r="D1347" t="s">
        <v>392</v>
      </c>
      <c r="E1347" t="s">
        <v>1805</v>
      </c>
      <c r="F1347" t="s">
        <v>1853</v>
      </c>
      <c r="G1347" t="s">
        <v>1862</v>
      </c>
      <c r="J1347" t="s">
        <v>1869</v>
      </c>
    </row>
    <row r="1348" spans="1:10">
      <c r="A1348" s="1">
        <f>HYPERLINK("https://cms.ls-nyc.org/matter/dynamic-profile/view/1871017","18-1871017")</f>
        <v>0</v>
      </c>
      <c r="B1348" t="s">
        <v>13</v>
      </c>
      <c r="C1348" t="s">
        <v>29</v>
      </c>
      <c r="D1348" t="s">
        <v>1123</v>
      </c>
      <c r="E1348" t="s">
        <v>1824</v>
      </c>
      <c r="F1348" t="s">
        <v>1855</v>
      </c>
      <c r="G1348" t="s">
        <v>1862</v>
      </c>
      <c r="J1348" t="s">
        <v>1871</v>
      </c>
    </row>
    <row r="1349" spans="1:10">
      <c r="A1349" s="1">
        <f>HYPERLINK("https://cms.ls-nyc.org/matter/dynamic-profile/view/1870780","18-1870780")</f>
        <v>0</v>
      </c>
      <c r="B1349" t="s">
        <v>11</v>
      </c>
      <c r="C1349" t="s">
        <v>41</v>
      </c>
      <c r="D1349" t="s">
        <v>1124</v>
      </c>
      <c r="E1349" t="s">
        <v>1815</v>
      </c>
      <c r="F1349" t="s">
        <v>1856</v>
      </c>
      <c r="G1349" t="s">
        <v>1862</v>
      </c>
      <c r="J1349" t="s">
        <v>1868</v>
      </c>
    </row>
    <row r="1350" spans="1:10">
      <c r="A1350" s="1">
        <f>HYPERLINK("https://cms.ls-nyc.org/matter/dynamic-profile/view/1867556","18-1867556")</f>
        <v>0</v>
      </c>
      <c r="B1350" t="s">
        <v>13</v>
      </c>
      <c r="C1350" t="s">
        <v>24</v>
      </c>
      <c r="D1350" t="s">
        <v>690</v>
      </c>
      <c r="E1350" t="s">
        <v>1810</v>
      </c>
      <c r="F1350" t="s">
        <v>1853</v>
      </c>
      <c r="G1350" t="s">
        <v>1862</v>
      </c>
      <c r="H1350" t="s">
        <v>1863</v>
      </c>
      <c r="J1350" t="s">
        <v>1869</v>
      </c>
    </row>
    <row r="1351" spans="1:10">
      <c r="A1351" s="1">
        <f>HYPERLINK("https://cms.ls-nyc.org/matter/dynamic-profile/view/1870788","18-1870788")</f>
        <v>0</v>
      </c>
      <c r="B1351" t="s">
        <v>11</v>
      </c>
      <c r="C1351" t="s">
        <v>41</v>
      </c>
      <c r="D1351" t="s">
        <v>1125</v>
      </c>
      <c r="E1351" t="s">
        <v>1815</v>
      </c>
      <c r="G1351" t="s">
        <v>1862</v>
      </c>
      <c r="I1351" t="s">
        <v>1865</v>
      </c>
      <c r="J1351" t="s">
        <v>1866</v>
      </c>
    </row>
    <row r="1352" spans="1:10">
      <c r="A1352" s="1">
        <f>HYPERLINK("https://cms.ls-nyc.org/matter/dynamic-profile/view/1870854","18-1870854")</f>
        <v>0</v>
      </c>
      <c r="B1352" t="s">
        <v>11</v>
      </c>
      <c r="C1352" t="s">
        <v>41</v>
      </c>
      <c r="D1352" t="s">
        <v>1126</v>
      </c>
      <c r="E1352" t="s">
        <v>1815</v>
      </c>
      <c r="F1352" t="s">
        <v>1853</v>
      </c>
      <c r="G1352" t="s">
        <v>1862</v>
      </c>
      <c r="H1352" t="s">
        <v>1863</v>
      </c>
      <c r="J1352" t="s">
        <v>1867</v>
      </c>
    </row>
    <row r="1353" spans="1:10">
      <c r="A1353" s="1">
        <f>HYPERLINK("https://cms.ls-nyc.org/matter/dynamic-profile/view/1867030","18-1867030")</f>
        <v>0</v>
      </c>
      <c r="B1353" t="s">
        <v>13</v>
      </c>
      <c r="C1353" t="s">
        <v>29</v>
      </c>
      <c r="D1353" t="s">
        <v>1127</v>
      </c>
      <c r="E1353" t="s">
        <v>1803</v>
      </c>
      <c r="F1353" t="s">
        <v>1855</v>
      </c>
      <c r="G1353" t="s">
        <v>1862</v>
      </c>
      <c r="H1353" t="s">
        <v>1863</v>
      </c>
      <c r="J1353" t="s">
        <v>1871</v>
      </c>
    </row>
    <row r="1354" spans="1:10">
      <c r="A1354" s="1">
        <f>HYPERLINK("https://cms.ls-nyc.org/matter/dynamic-profile/view/1870554","18-1870554")</f>
        <v>0</v>
      </c>
      <c r="B1354" t="s">
        <v>10</v>
      </c>
      <c r="C1354" t="s">
        <v>16</v>
      </c>
      <c r="D1354" t="s">
        <v>1128</v>
      </c>
      <c r="E1354" t="s">
        <v>1818</v>
      </c>
      <c r="F1354" t="s">
        <v>1853</v>
      </c>
      <c r="G1354" t="s">
        <v>1862</v>
      </c>
      <c r="H1354" t="s">
        <v>1863</v>
      </c>
      <c r="J1354" t="s">
        <v>1869</v>
      </c>
    </row>
    <row r="1355" spans="1:10">
      <c r="A1355" s="1">
        <f>HYPERLINK("https://cms.ls-nyc.org/matter/dynamic-profile/view/1870555","18-1870555")</f>
        <v>0</v>
      </c>
      <c r="B1355" t="s">
        <v>10</v>
      </c>
      <c r="C1355" t="s">
        <v>16</v>
      </c>
      <c r="D1355" t="s">
        <v>1128</v>
      </c>
      <c r="E1355" t="s">
        <v>1812</v>
      </c>
      <c r="F1355" t="s">
        <v>1853</v>
      </c>
      <c r="G1355" t="s">
        <v>1862</v>
      </c>
      <c r="H1355" t="s">
        <v>1863</v>
      </c>
      <c r="J1355" t="s">
        <v>1867</v>
      </c>
    </row>
    <row r="1356" spans="1:10">
      <c r="A1356" s="1">
        <f>HYPERLINK("https://cms.ls-nyc.org/matter/dynamic-profile/view/1870557","18-1870557")</f>
        <v>0</v>
      </c>
      <c r="B1356" t="s">
        <v>10</v>
      </c>
      <c r="C1356" t="s">
        <v>16</v>
      </c>
      <c r="D1356" t="s">
        <v>1129</v>
      </c>
      <c r="E1356" t="s">
        <v>1818</v>
      </c>
      <c r="F1356" t="s">
        <v>1853</v>
      </c>
      <c r="G1356" t="s">
        <v>1862</v>
      </c>
      <c r="H1356" t="s">
        <v>1863</v>
      </c>
      <c r="J1356" t="s">
        <v>1869</v>
      </c>
    </row>
    <row r="1357" spans="1:10">
      <c r="A1357" s="1">
        <f>HYPERLINK("https://cms.ls-nyc.org/matter/dynamic-profile/view/1870560","18-1870560")</f>
        <v>0</v>
      </c>
      <c r="B1357" t="s">
        <v>10</v>
      </c>
      <c r="C1357" t="s">
        <v>16</v>
      </c>
      <c r="D1357" t="s">
        <v>1129</v>
      </c>
      <c r="E1357" t="s">
        <v>1812</v>
      </c>
      <c r="F1357" t="s">
        <v>1853</v>
      </c>
      <c r="G1357" t="s">
        <v>1862</v>
      </c>
      <c r="H1357" t="s">
        <v>1863</v>
      </c>
      <c r="J1357" t="s">
        <v>1867</v>
      </c>
    </row>
    <row r="1358" spans="1:10">
      <c r="A1358" s="1">
        <f>HYPERLINK("https://cms.ls-nyc.org/matter/dynamic-profile/view/1870438","18-1870438")</f>
        <v>0</v>
      </c>
      <c r="B1358" t="s">
        <v>10</v>
      </c>
      <c r="C1358" t="s">
        <v>16</v>
      </c>
      <c r="D1358" t="s">
        <v>1130</v>
      </c>
      <c r="E1358" t="s">
        <v>1799</v>
      </c>
      <c r="F1358" t="s">
        <v>1853</v>
      </c>
      <c r="G1358" t="s">
        <v>1862</v>
      </c>
      <c r="H1358" t="s">
        <v>1863</v>
      </c>
      <c r="J1358" t="s">
        <v>1867</v>
      </c>
    </row>
    <row r="1359" spans="1:10">
      <c r="A1359" s="1">
        <f>HYPERLINK("https://cms.ls-nyc.org/matter/dynamic-profile/view/1870512","18-1870512")</f>
        <v>0</v>
      </c>
      <c r="B1359" t="s">
        <v>14</v>
      </c>
      <c r="C1359" t="s">
        <v>28</v>
      </c>
      <c r="D1359" t="s">
        <v>932</v>
      </c>
      <c r="E1359" t="s">
        <v>1815</v>
      </c>
      <c r="F1359" t="s">
        <v>1853</v>
      </c>
      <c r="G1359" t="s">
        <v>1862</v>
      </c>
      <c r="H1359" t="s">
        <v>1863</v>
      </c>
      <c r="J1359" t="s">
        <v>1867</v>
      </c>
    </row>
    <row r="1360" spans="1:10">
      <c r="A1360" s="1">
        <f>HYPERLINK("https://cms.ls-nyc.org/matter/dynamic-profile/view/1870550","18-1870550")</f>
        <v>0</v>
      </c>
      <c r="B1360" t="s">
        <v>10</v>
      </c>
      <c r="C1360" t="s">
        <v>44</v>
      </c>
      <c r="D1360" t="s">
        <v>1131</v>
      </c>
      <c r="E1360" t="s">
        <v>1810</v>
      </c>
      <c r="F1360" t="s">
        <v>1856</v>
      </c>
      <c r="G1360" t="s">
        <v>1862</v>
      </c>
      <c r="H1360" t="s">
        <v>1864</v>
      </c>
      <c r="J1360" t="s">
        <v>1866</v>
      </c>
    </row>
    <row r="1361" spans="1:10">
      <c r="A1361" s="1">
        <f>HYPERLINK("https://cms.ls-nyc.org/matter/dynamic-profile/view/1870551","18-1870551")</f>
        <v>0</v>
      </c>
      <c r="B1361" t="s">
        <v>10</v>
      </c>
      <c r="C1361" t="s">
        <v>16</v>
      </c>
      <c r="D1361" t="s">
        <v>1132</v>
      </c>
      <c r="E1361" t="s">
        <v>1805</v>
      </c>
      <c r="F1361" t="s">
        <v>1853</v>
      </c>
      <c r="G1361" t="s">
        <v>1862</v>
      </c>
      <c r="J1361" t="s">
        <v>1869</v>
      </c>
    </row>
    <row r="1362" spans="1:10">
      <c r="A1362" s="1">
        <f>HYPERLINK("https://cms.ls-nyc.org/matter/dynamic-profile/view/1870344","18-1870344")</f>
        <v>0</v>
      </c>
      <c r="B1362" t="s">
        <v>10</v>
      </c>
      <c r="C1362" t="s">
        <v>16</v>
      </c>
      <c r="D1362" t="s">
        <v>1133</v>
      </c>
      <c r="E1362" t="s">
        <v>1815</v>
      </c>
      <c r="F1362" t="s">
        <v>1858</v>
      </c>
      <c r="G1362" t="s">
        <v>1862</v>
      </c>
      <c r="J1362" t="s">
        <v>1868</v>
      </c>
    </row>
    <row r="1363" spans="1:10">
      <c r="A1363" s="1">
        <f>HYPERLINK("https://cms.ls-nyc.org/matter/dynamic-profile/view/1870322","18-1870322")</f>
        <v>0</v>
      </c>
      <c r="B1363" t="s">
        <v>12</v>
      </c>
      <c r="C1363" t="s">
        <v>33</v>
      </c>
      <c r="D1363" t="s">
        <v>1134</v>
      </c>
      <c r="E1363" t="s">
        <v>1830</v>
      </c>
      <c r="F1363" t="s">
        <v>1853</v>
      </c>
      <c r="G1363" t="s">
        <v>1862</v>
      </c>
      <c r="H1363" t="s">
        <v>1863</v>
      </c>
      <c r="J1363" t="s">
        <v>1867</v>
      </c>
    </row>
    <row r="1364" spans="1:10">
      <c r="A1364" s="1">
        <f>HYPERLINK("https://cms.ls-nyc.org/matter/dynamic-profile/view/1870347","18-1870347")</f>
        <v>0</v>
      </c>
      <c r="B1364" t="s">
        <v>10</v>
      </c>
      <c r="C1364" t="s">
        <v>30</v>
      </c>
      <c r="D1364" t="s">
        <v>1135</v>
      </c>
      <c r="E1364" t="s">
        <v>1815</v>
      </c>
      <c r="F1364" t="s">
        <v>1858</v>
      </c>
      <c r="G1364" t="s">
        <v>1862</v>
      </c>
      <c r="H1364" t="s">
        <v>1863</v>
      </c>
      <c r="J1364" t="s">
        <v>1868</v>
      </c>
    </row>
    <row r="1365" spans="1:10">
      <c r="A1365" s="1">
        <f>HYPERLINK("https://cms.ls-nyc.org/matter/dynamic-profile/view/1870355","18-1870355")</f>
        <v>0</v>
      </c>
      <c r="B1365" t="s">
        <v>11</v>
      </c>
      <c r="C1365" t="s">
        <v>41</v>
      </c>
      <c r="D1365" t="s">
        <v>1136</v>
      </c>
      <c r="E1365" t="s">
        <v>1821</v>
      </c>
      <c r="F1365" t="s">
        <v>1858</v>
      </c>
      <c r="G1365" t="s">
        <v>1862</v>
      </c>
      <c r="I1365" t="s">
        <v>1865</v>
      </c>
      <c r="J1365" t="s">
        <v>1866</v>
      </c>
    </row>
    <row r="1366" spans="1:10">
      <c r="A1366" s="1">
        <f>HYPERLINK("https://cms.ls-nyc.org/matter/dynamic-profile/view/1870271","18-1870271")</f>
        <v>0</v>
      </c>
      <c r="B1366" t="s">
        <v>14</v>
      </c>
      <c r="C1366" t="s">
        <v>42</v>
      </c>
      <c r="D1366" t="s">
        <v>1137</v>
      </c>
      <c r="E1366" t="s">
        <v>1821</v>
      </c>
      <c r="F1366" t="s">
        <v>1858</v>
      </c>
      <c r="G1366" t="s">
        <v>1862</v>
      </c>
      <c r="H1366" t="s">
        <v>1863</v>
      </c>
      <c r="J1366" t="s">
        <v>1868</v>
      </c>
    </row>
    <row r="1367" spans="1:10">
      <c r="A1367" s="1">
        <f>HYPERLINK("https://cms.ls-nyc.org/matter/dynamic-profile/view/1870258","18-1870258")</f>
        <v>0</v>
      </c>
      <c r="B1367" t="s">
        <v>10</v>
      </c>
      <c r="C1367" t="s">
        <v>16</v>
      </c>
      <c r="D1367" t="s">
        <v>1138</v>
      </c>
      <c r="E1367" t="s">
        <v>1815</v>
      </c>
      <c r="F1367" t="s">
        <v>1858</v>
      </c>
      <c r="G1367" t="s">
        <v>1862</v>
      </c>
      <c r="H1367" t="s">
        <v>1863</v>
      </c>
      <c r="J1367" t="s">
        <v>1868</v>
      </c>
    </row>
    <row r="1368" spans="1:10">
      <c r="A1368" s="1">
        <f>HYPERLINK("https://cms.ls-nyc.org/matter/dynamic-profile/view/1870239","18-1870239")</f>
        <v>0</v>
      </c>
      <c r="B1368" t="s">
        <v>10</v>
      </c>
      <c r="C1368" t="s">
        <v>16</v>
      </c>
      <c r="D1368" t="s">
        <v>1139</v>
      </c>
      <c r="E1368" t="s">
        <v>1815</v>
      </c>
      <c r="F1368" t="s">
        <v>1853</v>
      </c>
      <c r="G1368" t="s">
        <v>1862</v>
      </c>
      <c r="H1368" t="s">
        <v>1863</v>
      </c>
      <c r="J1368" t="s">
        <v>1867</v>
      </c>
    </row>
    <row r="1369" spans="1:10">
      <c r="A1369" s="1">
        <f>HYPERLINK("https://cms.ls-nyc.org/matter/dynamic-profile/view/1870240","18-1870240")</f>
        <v>0</v>
      </c>
      <c r="B1369" t="s">
        <v>14</v>
      </c>
      <c r="C1369" t="s">
        <v>42</v>
      </c>
      <c r="D1369" t="s">
        <v>583</v>
      </c>
      <c r="E1369" t="s">
        <v>1809</v>
      </c>
      <c r="F1369" t="s">
        <v>1855</v>
      </c>
      <c r="G1369" t="s">
        <v>1862</v>
      </c>
      <c r="H1369" t="s">
        <v>1863</v>
      </c>
      <c r="J1369" t="s">
        <v>1870</v>
      </c>
    </row>
    <row r="1370" spans="1:10">
      <c r="A1370" s="1">
        <f>HYPERLINK("https://cms.ls-nyc.org/matter/dynamic-profile/view/1870082","18-1870082")</f>
        <v>0</v>
      </c>
      <c r="B1370" t="s">
        <v>15</v>
      </c>
      <c r="C1370" t="s">
        <v>47</v>
      </c>
      <c r="D1370" t="s">
        <v>1140</v>
      </c>
      <c r="E1370" t="s">
        <v>1827</v>
      </c>
      <c r="F1370" t="s">
        <v>1853</v>
      </c>
      <c r="G1370" t="s">
        <v>1862</v>
      </c>
      <c r="J1370" t="s">
        <v>1869</v>
      </c>
    </row>
    <row r="1371" spans="1:10">
      <c r="A1371" s="1">
        <f>HYPERLINK("https://cms.ls-nyc.org/matter/dynamic-profile/view/1870108","18-1870108")</f>
        <v>0</v>
      </c>
      <c r="B1371" t="s">
        <v>10</v>
      </c>
      <c r="C1371" t="s">
        <v>16</v>
      </c>
      <c r="D1371" t="s">
        <v>188</v>
      </c>
      <c r="E1371" t="s">
        <v>1807</v>
      </c>
      <c r="F1371" t="s">
        <v>1853</v>
      </c>
      <c r="G1371" t="s">
        <v>1862</v>
      </c>
      <c r="H1371" t="s">
        <v>1863</v>
      </c>
      <c r="J1371" t="s">
        <v>1869</v>
      </c>
    </row>
    <row r="1372" spans="1:10">
      <c r="A1372" s="1">
        <f>HYPERLINK("https://cms.ls-nyc.org/matter/dynamic-profile/view/1870143","18-1870143")</f>
        <v>0</v>
      </c>
      <c r="B1372" t="s">
        <v>10</v>
      </c>
      <c r="C1372" t="s">
        <v>16</v>
      </c>
      <c r="D1372" t="s">
        <v>1141</v>
      </c>
      <c r="E1372" t="s">
        <v>1815</v>
      </c>
      <c r="F1372" t="s">
        <v>1853</v>
      </c>
      <c r="G1372" t="s">
        <v>1862</v>
      </c>
      <c r="H1372" t="s">
        <v>1863</v>
      </c>
      <c r="J1372" t="s">
        <v>1869</v>
      </c>
    </row>
    <row r="1373" spans="1:10">
      <c r="A1373" s="1">
        <f>HYPERLINK("https://cms.ls-nyc.org/matter/dynamic-profile/view/1870168","18-1870168")</f>
        <v>0</v>
      </c>
      <c r="B1373" t="s">
        <v>12</v>
      </c>
      <c r="C1373" t="s">
        <v>21</v>
      </c>
      <c r="D1373" t="s">
        <v>1142</v>
      </c>
      <c r="E1373" t="s">
        <v>1807</v>
      </c>
      <c r="F1373" t="s">
        <v>1853</v>
      </c>
      <c r="G1373" t="s">
        <v>1862</v>
      </c>
      <c r="H1373" t="s">
        <v>1863</v>
      </c>
      <c r="J1373" t="s">
        <v>1869</v>
      </c>
    </row>
    <row r="1374" spans="1:10">
      <c r="A1374" s="1">
        <f>HYPERLINK("https://cms.ls-nyc.org/matter/dynamic-profile/view/1867281","18-1867281")</f>
        <v>0</v>
      </c>
      <c r="B1374" t="s">
        <v>10</v>
      </c>
      <c r="C1374" t="s">
        <v>16</v>
      </c>
      <c r="D1374" t="s">
        <v>1143</v>
      </c>
      <c r="E1374" t="s">
        <v>1815</v>
      </c>
      <c r="F1374" t="s">
        <v>1853</v>
      </c>
      <c r="G1374" t="s">
        <v>1862</v>
      </c>
      <c r="H1374" t="s">
        <v>1863</v>
      </c>
      <c r="J1374" t="s">
        <v>1869</v>
      </c>
    </row>
    <row r="1375" spans="1:10">
      <c r="A1375" s="1">
        <f>HYPERLINK("https://cms.ls-nyc.org/matter/dynamic-profile/view/1869894","18-1869894")</f>
        <v>0</v>
      </c>
      <c r="B1375" t="s">
        <v>10</v>
      </c>
      <c r="C1375" t="s">
        <v>16</v>
      </c>
      <c r="D1375" t="s">
        <v>1144</v>
      </c>
      <c r="E1375" t="s">
        <v>1815</v>
      </c>
      <c r="F1375" t="s">
        <v>1858</v>
      </c>
      <c r="G1375" t="s">
        <v>1862</v>
      </c>
      <c r="J1375" t="s">
        <v>1868</v>
      </c>
    </row>
    <row r="1376" spans="1:10">
      <c r="A1376" s="1">
        <f>HYPERLINK("https://cms.ls-nyc.org/matter/dynamic-profile/view/1869878","18-1869878")</f>
        <v>0</v>
      </c>
      <c r="B1376" t="s">
        <v>12</v>
      </c>
      <c r="C1376" t="s">
        <v>21</v>
      </c>
      <c r="D1376" t="s">
        <v>1145</v>
      </c>
      <c r="E1376" t="s">
        <v>1807</v>
      </c>
      <c r="F1376" t="s">
        <v>1853</v>
      </c>
      <c r="G1376" t="s">
        <v>1862</v>
      </c>
      <c r="H1376" t="s">
        <v>1863</v>
      </c>
      <c r="J1376" t="s">
        <v>1868</v>
      </c>
    </row>
    <row r="1377" spans="1:10">
      <c r="A1377" s="1">
        <f>HYPERLINK("https://cms.ls-nyc.org/matter/dynamic-profile/view/1869901","18-1869901")</f>
        <v>0</v>
      </c>
      <c r="B1377" t="s">
        <v>14</v>
      </c>
      <c r="C1377" t="s">
        <v>28</v>
      </c>
      <c r="D1377" t="s">
        <v>1146</v>
      </c>
      <c r="E1377" t="s">
        <v>1800</v>
      </c>
      <c r="F1377" t="s">
        <v>1853</v>
      </c>
      <c r="G1377" t="s">
        <v>1862</v>
      </c>
      <c r="H1377" t="s">
        <v>1863</v>
      </c>
      <c r="J1377" t="s">
        <v>1868</v>
      </c>
    </row>
    <row r="1378" spans="1:10">
      <c r="A1378" s="1">
        <f>HYPERLINK("https://cms.ls-nyc.org/matter/dynamic-profile/view/1869892","18-1869892")</f>
        <v>0</v>
      </c>
      <c r="B1378" t="s">
        <v>10</v>
      </c>
      <c r="C1378" t="s">
        <v>16</v>
      </c>
      <c r="D1378" t="s">
        <v>1147</v>
      </c>
      <c r="E1378" t="s">
        <v>1815</v>
      </c>
      <c r="F1378" t="s">
        <v>1853</v>
      </c>
      <c r="G1378" t="s">
        <v>1862</v>
      </c>
      <c r="H1378" t="s">
        <v>1863</v>
      </c>
      <c r="J1378" t="s">
        <v>1869</v>
      </c>
    </row>
    <row r="1379" spans="1:10">
      <c r="A1379" s="1">
        <f>HYPERLINK("https://cms.ls-nyc.org/matter/dynamic-profile/view/1869757","18-1869757")</f>
        <v>0</v>
      </c>
      <c r="B1379" t="s">
        <v>10</v>
      </c>
      <c r="C1379" t="s">
        <v>30</v>
      </c>
      <c r="D1379" t="s">
        <v>1148</v>
      </c>
      <c r="E1379" t="s">
        <v>1815</v>
      </c>
      <c r="F1379" t="s">
        <v>1858</v>
      </c>
      <c r="G1379" t="s">
        <v>1862</v>
      </c>
      <c r="H1379" t="s">
        <v>1863</v>
      </c>
      <c r="J1379" t="s">
        <v>1868</v>
      </c>
    </row>
    <row r="1380" spans="1:10">
      <c r="A1380" s="1">
        <f>HYPERLINK("https://cms.ls-nyc.org/matter/dynamic-profile/view/1869547","18-1869547")</f>
        <v>0</v>
      </c>
      <c r="B1380" t="s">
        <v>14</v>
      </c>
      <c r="C1380" t="s">
        <v>28</v>
      </c>
      <c r="D1380" t="s">
        <v>1149</v>
      </c>
      <c r="E1380" t="s">
        <v>1821</v>
      </c>
      <c r="F1380" t="s">
        <v>1858</v>
      </c>
      <c r="G1380" t="s">
        <v>1862</v>
      </c>
      <c r="H1380" t="s">
        <v>1864</v>
      </c>
      <c r="J1380" t="s">
        <v>1868</v>
      </c>
    </row>
    <row r="1381" spans="1:10">
      <c r="A1381" s="1">
        <f>HYPERLINK("https://cms.ls-nyc.org/matter/dynamic-profile/view/1869573","18-1869573")</f>
        <v>0</v>
      </c>
      <c r="B1381" t="s">
        <v>11</v>
      </c>
      <c r="C1381" t="s">
        <v>32</v>
      </c>
      <c r="D1381" t="s">
        <v>1150</v>
      </c>
      <c r="E1381" t="s">
        <v>1804</v>
      </c>
      <c r="F1381" t="s">
        <v>1853</v>
      </c>
      <c r="G1381" t="s">
        <v>1862</v>
      </c>
      <c r="H1381" t="s">
        <v>1863</v>
      </c>
      <c r="J1381" t="s">
        <v>1867</v>
      </c>
    </row>
    <row r="1382" spans="1:10">
      <c r="A1382" s="1">
        <f>HYPERLINK("https://cms.ls-nyc.org/matter/dynamic-profile/view/1869622","18-1869622")</f>
        <v>0</v>
      </c>
      <c r="B1382" t="s">
        <v>14</v>
      </c>
      <c r="C1382" t="s">
        <v>42</v>
      </c>
      <c r="D1382" t="s">
        <v>1151</v>
      </c>
      <c r="E1382" t="s">
        <v>1815</v>
      </c>
      <c r="F1382" t="s">
        <v>1853</v>
      </c>
      <c r="G1382" t="s">
        <v>1862</v>
      </c>
      <c r="H1382" t="s">
        <v>1863</v>
      </c>
      <c r="J1382" t="s">
        <v>1867</v>
      </c>
    </row>
    <row r="1383" spans="1:10">
      <c r="A1383" s="1">
        <f>HYPERLINK("https://cms.ls-nyc.org/matter/dynamic-profile/view/1869651","18-1869651")</f>
        <v>0</v>
      </c>
      <c r="B1383" t="s">
        <v>10</v>
      </c>
      <c r="C1383" t="s">
        <v>16</v>
      </c>
      <c r="D1383" t="s">
        <v>1152</v>
      </c>
      <c r="E1383" t="s">
        <v>1807</v>
      </c>
      <c r="F1383" t="s">
        <v>1853</v>
      </c>
      <c r="G1383" t="s">
        <v>1862</v>
      </c>
      <c r="H1383" t="s">
        <v>1863</v>
      </c>
      <c r="J1383" t="s">
        <v>1869</v>
      </c>
    </row>
    <row r="1384" spans="1:10">
      <c r="A1384" s="1">
        <f>HYPERLINK("https://cms.ls-nyc.org/matter/dynamic-profile/view/1869440","18-1869440")</f>
        <v>0</v>
      </c>
      <c r="B1384" t="s">
        <v>11</v>
      </c>
      <c r="C1384" t="s">
        <v>41</v>
      </c>
      <c r="D1384" t="s">
        <v>1153</v>
      </c>
      <c r="E1384" t="s">
        <v>1815</v>
      </c>
      <c r="F1384" t="s">
        <v>1853</v>
      </c>
      <c r="G1384" t="s">
        <v>1862</v>
      </c>
      <c r="H1384" t="s">
        <v>1863</v>
      </c>
      <c r="I1384" t="s">
        <v>1865</v>
      </c>
      <c r="J1384" t="s">
        <v>1866</v>
      </c>
    </row>
    <row r="1385" spans="1:10">
      <c r="A1385" s="1">
        <f>HYPERLINK("https://cms.ls-nyc.org/matter/dynamic-profile/view/1869514","18-1869514")</f>
        <v>0</v>
      </c>
      <c r="B1385" t="s">
        <v>10</v>
      </c>
      <c r="C1385" t="s">
        <v>16</v>
      </c>
      <c r="D1385" t="s">
        <v>742</v>
      </c>
      <c r="E1385" t="s">
        <v>1815</v>
      </c>
      <c r="F1385" t="s">
        <v>1853</v>
      </c>
      <c r="G1385" t="s">
        <v>1862</v>
      </c>
      <c r="H1385" t="s">
        <v>1863</v>
      </c>
      <c r="J1385" t="s">
        <v>1867</v>
      </c>
    </row>
    <row r="1386" spans="1:10">
      <c r="A1386" s="1">
        <f>HYPERLINK("https://cms.ls-nyc.org/matter/dynamic-profile/view/1869357","18-1869357")</f>
        <v>0</v>
      </c>
      <c r="B1386" t="s">
        <v>14</v>
      </c>
      <c r="C1386" t="s">
        <v>28</v>
      </c>
      <c r="D1386" t="s">
        <v>1154</v>
      </c>
      <c r="E1386" t="s">
        <v>1807</v>
      </c>
      <c r="F1386" t="s">
        <v>1858</v>
      </c>
      <c r="G1386" t="s">
        <v>1862</v>
      </c>
      <c r="H1386" t="s">
        <v>1864</v>
      </c>
      <c r="J1386" t="s">
        <v>1868</v>
      </c>
    </row>
    <row r="1387" spans="1:10">
      <c r="A1387" s="1">
        <f>HYPERLINK("https://cms.ls-nyc.org/matter/dynamic-profile/view/1869368","18-1869368")</f>
        <v>0</v>
      </c>
      <c r="B1387" t="s">
        <v>10</v>
      </c>
      <c r="C1387" t="s">
        <v>30</v>
      </c>
      <c r="D1387" t="s">
        <v>1155</v>
      </c>
      <c r="E1387" t="s">
        <v>1810</v>
      </c>
      <c r="F1387" t="s">
        <v>1858</v>
      </c>
      <c r="G1387" t="s">
        <v>1862</v>
      </c>
      <c r="H1387" t="s">
        <v>1863</v>
      </c>
      <c r="J1387" t="s">
        <v>1868</v>
      </c>
    </row>
    <row r="1388" spans="1:10">
      <c r="A1388" s="1">
        <f>HYPERLINK("https://cms.ls-nyc.org/matter/dynamic-profile/view/1869338","18-1869338")</f>
        <v>0</v>
      </c>
      <c r="B1388" t="s">
        <v>15</v>
      </c>
      <c r="C1388" t="s">
        <v>34</v>
      </c>
      <c r="D1388" t="s">
        <v>916</v>
      </c>
      <c r="E1388" t="s">
        <v>1809</v>
      </c>
      <c r="F1388" t="s">
        <v>1855</v>
      </c>
      <c r="G1388" t="s">
        <v>1862</v>
      </c>
      <c r="H1388" t="s">
        <v>1863</v>
      </c>
      <c r="J1388" t="s">
        <v>1871</v>
      </c>
    </row>
    <row r="1389" spans="1:10">
      <c r="A1389" s="1">
        <f>HYPERLINK("https://cms.ls-nyc.org/matter/dynamic-profile/view/1869360","18-1869360")</f>
        <v>0</v>
      </c>
      <c r="B1389" t="s">
        <v>12</v>
      </c>
      <c r="C1389" t="s">
        <v>40</v>
      </c>
      <c r="D1389" t="s">
        <v>1156</v>
      </c>
      <c r="E1389" t="s">
        <v>1845</v>
      </c>
      <c r="G1389" t="s">
        <v>1862</v>
      </c>
      <c r="J1389" t="s">
        <v>1867</v>
      </c>
    </row>
    <row r="1390" spans="1:10">
      <c r="A1390" s="1">
        <f>HYPERLINK("https://cms.ls-nyc.org/matter/dynamic-profile/view/1869363","18-1869363")</f>
        <v>0</v>
      </c>
      <c r="B1390" t="s">
        <v>12</v>
      </c>
      <c r="C1390" t="s">
        <v>40</v>
      </c>
      <c r="D1390" t="s">
        <v>1157</v>
      </c>
      <c r="E1390" t="s">
        <v>1845</v>
      </c>
      <c r="G1390" t="s">
        <v>1862</v>
      </c>
      <c r="J1390" t="s">
        <v>1867</v>
      </c>
    </row>
    <row r="1391" spans="1:10">
      <c r="A1391" s="1">
        <f>HYPERLINK("https://cms.ls-nyc.org/matter/dynamic-profile/view/1869365","18-1869365")</f>
        <v>0</v>
      </c>
      <c r="B1391" t="s">
        <v>12</v>
      </c>
      <c r="C1391" t="s">
        <v>40</v>
      </c>
      <c r="D1391" t="s">
        <v>1158</v>
      </c>
      <c r="E1391" t="s">
        <v>1845</v>
      </c>
      <c r="G1391" t="s">
        <v>1862</v>
      </c>
      <c r="J1391" t="s">
        <v>1867</v>
      </c>
    </row>
    <row r="1392" spans="1:10">
      <c r="A1392" s="1">
        <f>HYPERLINK("https://cms.ls-nyc.org/matter/dynamic-profile/view/1869396","18-1869396")</f>
        <v>0</v>
      </c>
      <c r="B1392" t="s">
        <v>10</v>
      </c>
      <c r="C1392" t="s">
        <v>16</v>
      </c>
      <c r="D1392" t="s">
        <v>1159</v>
      </c>
      <c r="E1392" t="s">
        <v>1815</v>
      </c>
      <c r="F1392" t="s">
        <v>1853</v>
      </c>
      <c r="G1392" t="s">
        <v>1862</v>
      </c>
      <c r="H1392" t="s">
        <v>1863</v>
      </c>
      <c r="J1392" t="s">
        <v>1867</v>
      </c>
    </row>
    <row r="1393" spans="1:10">
      <c r="A1393" s="1">
        <f>HYPERLINK("https://cms.ls-nyc.org/matter/dynamic-profile/view/1869419","18-1869419")</f>
        <v>0</v>
      </c>
      <c r="B1393" t="s">
        <v>15</v>
      </c>
      <c r="C1393" t="s">
        <v>34</v>
      </c>
      <c r="D1393" t="s">
        <v>1160</v>
      </c>
      <c r="E1393" t="s">
        <v>1803</v>
      </c>
      <c r="F1393" t="s">
        <v>1853</v>
      </c>
      <c r="G1393" t="s">
        <v>1862</v>
      </c>
      <c r="H1393" t="s">
        <v>1863</v>
      </c>
      <c r="J1393" t="s">
        <v>1871</v>
      </c>
    </row>
    <row r="1394" spans="1:10">
      <c r="A1394" s="1">
        <f>HYPERLINK("https://cms.ls-nyc.org/matter/dynamic-profile/view/1869227","18-1869227")</f>
        <v>0</v>
      </c>
      <c r="B1394" t="s">
        <v>12</v>
      </c>
      <c r="C1394" t="s">
        <v>33</v>
      </c>
      <c r="D1394" t="s">
        <v>1161</v>
      </c>
      <c r="E1394" t="s">
        <v>1815</v>
      </c>
      <c r="G1394" t="s">
        <v>1862</v>
      </c>
      <c r="J1394" t="s">
        <v>1868</v>
      </c>
    </row>
    <row r="1395" spans="1:10">
      <c r="A1395" s="1">
        <f>HYPERLINK("https://cms.ls-nyc.org/matter/dynamic-profile/view/1869201","18-1869201")</f>
        <v>0</v>
      </c>
      <c r="B1395" t="s">
        <v>15</v>
      </c>
      <c r="C1395" t="s">
        <v>34</v>
      </c>
      <c r="D1395" t="s">
        <v>1162</v>
      </c>
      <c r="E1395" t="s">
        <v>1823</v>
      </c>
      <c r="F1395" t="s">
        <v>1853</v>
      </c>
      <c r="G1395" t="s">
        <v>1862</v>
      </c>
      <c r="H1395" t="s">
        <v>1863</v>
      </c>
      <c r="J1395" t="s">
        <v>1868</v>
      </c>
    </row>
    <row r="1396" spans="1:10">
      <c r="A1396" s="1">
        <f>HYPERLINK("https://cms.ls-nyc.org/matter/dynamic-profile/view/1869218","18-1869218")</f>
        <v>0</v>
      </c>
      <c r="B1396" t="s">
        <v>10</v>
      </c>
      <c r="C1396" t="s">
        <v>16</v>
      </c>
      <c r="D1396" t="s">
        <v>1163</v>
      </c>
      <c r="E1396" t="s">
        <v>1807</v>
      </c>
      <c r="F1396" t="s">
        <v>1853</v>
      </c>
      <c r="G1396" t="s">
        <v>1862</v>
      </c>
      <c r="H1396" t="s">
        <v>1863</v>
      </c>
      <c r="J1396" t="s">
        <v>1869</v>
      </c>
    </row>
    <row r="1397" spans="1:10">
      <c r="A1397" s="1">
        <f>HYPERLINK("https://cms.ls-nyc.org/matter/dynamic-profile/view/1869233","18-1869233")</f>
        <v>0</v>
      </c>
      <c r="B1397" t="s">
        <v>10</v>
      </c>
      <c r="C1397" t="s">
        <v>17</v>
      </c>
      <c r="D1397" t="s">
        <v>1164</v>
      </c>
      <c r="E1397" t="s">
        <v>1815</v>
      </c>
      <c r="F1397" t="s">
        <v>1853</v>
      </c>
      <c r="G1397" t="s">
        <v>1862</v>
      </c>
      <c r="J1397" t="s">
        <v>1867</v>
      </c>
    </row>
    <row r="1398" spans="1:10">
      <c r="A1398" s="1">
        <f>HYPERLINK("https://cms.ls-nyc.org/matter/dynamic-profile/view/1869234","18-1869234")</f>
        <v>0</v>
      </c>
      <c r="B1398" t="s">
        <v>10</v>
      </c>
      <c r="C1398" t="s">
        <v>16</v>
      </c>
      <c r="D1398" t="s">
        <v>1165</v>
      </c>
      <c r="E1398" t="s">
        <v>1815</v>
      </c>
      <c r="F1398" t="s">
        <v>1853</v>
      </c>
      <c r="G1398" t="s">
        <v>1862</v>
      </c>
      <c r="H1398" t="s">
        <v>1863</v>
      </c>
      <c r="J1398" t="s">
        <v>1867</v>
      </c>
    </row>
    <row r="1399" spans="1:10">
      <c r="A1399" s="1">
        <f>HYPERLINK("https://cms.ls-nyc.org/matter/dynamic-profile/view/1869261","18-1869261")</f>
        <v>0</v>
      </c>
      <c r="B1399" t="s">
        <v>15</v>
      </c>
      <c r="C1399" t="s">
        <v>56</v>
      </c>
      <c r="D1399" t="s">
        <v>1166</v>
      </c>
      <c r="E1399" t="s">
        <v>1815</v>
      </c>
      <c r="F1399" t="s">
        <v>1853</v>
      </c>
      <c r="G1399" t="s">
        <v>1862</v>
      </c>
      <c r="J1399" t="s">
        <v>1867</v>
      </c>
    </row>
    <row r="1400" spans="1:10">
      <c r="A1400" s="1">
        <f>HYPERLINK("https://cms.ls-nyc.org/matter/dynamic-profile/view/1878918","18-1878918")</f>
        <v>0</v>
      </c>
      <c r="B1400" t="s">
        <v>14</v>
      </c>
      <c r="C1400" t="s">
        <v>28</v>
      </c>
      <c r="D1400" t="s">
        <v>903</v>
      </c>
      <c r="E1400" t="s">
        <v>1803</v>
      </c>
      <c r="F1400" t="s">
        <v>1855</v>
      </c>
      <c r="G1400" t="s">
        <v>1862</v>
      </c>
      <c r="H1400" t="s">
        <v>1863</v>
      </c>
      <c r="J1400" t="s">
        <v>1871</v>
      </c>
    </row>
    <row r="1401" spans="1:10">
      <c r="A1401" s="1">
        <f>HYPERLINK("https://cms.ls-nyc.org/matter/dynamic-profile/view/1878967","18-1878967")</f>
        <v>0</v>
      </c>
      <c r="B1401" t="s">
        <v>14</v>
      </c>
      <c r="C1401" t="s">
        <v>28</v>
      </c>
      <c r="D1401" t="s">
        <v>1167</v>
      </c>
      <c r="E1401" t="s">
        <v>1807</v>
      </c>
      <c r="F1401" t="s">
        <v>1855</v>
      </c>
      <c r="G1401" t="s">
        <v>1862</v>
      </c>
      <c r="J1401" t="s">
        <v>1869</v>
      </c>
    </row>
    <row r="1402" spans="1:10">
      <c r="A1402" s="1">
        <f>HYPERLINK("https://cms.ls-nyc.org/matter/dynamic-profile/view/1869092","18-1869092")</f>
        <v>0</v>
      </c>
      <c r="B1402" t="s">
        <v>12</v>
      </c>
      <c r="C1402" t="s">
        <v>20</v>
      </c>
      <c r="D1402" t="s">
        <v>949</v>
      </c>
      <c r="E1402" t="s">
        <v>1809</v>
      </c>
      <c r="F1402" t="s">
        <v>1855</v>
      </c>
      <c r="G1402" t="s">
        <v>1862</v>
      </c>
      <c r="H1402" t="s">
        <v>1863</v>
      </c>
      <c r="J1402" t="s">
        <v>1870</v>
      </c>
    </row>
    <row r="1403" spans="1:10">
      <c r="A1403" s="1">
        <f>HYPERLINK("https://cms.ls-nyc.org/matter/dynamic-profile/view/1869104","18-1869104")</f>
        <v>0</v>
      </c>
      <c r="B1403" t="s">
        <v>12</v>
      </c>
      <c r="C1403" t="s">
        <v>20</v>
      </c>
      <c r="D1403" t="s">
        <v>353</v>
      </c>
      <c r="E1403" t="s">
        <v>1802</v>
      </c>
      <c r="F1403" t="s">
        <v>1855</v>
      </c>
      <c r="G1403" t="s">
        <v>1862</v>
      </c>
      <c r="H1403" t="s">
        <v>1863</v>
      </c>
      <c r="J1403" t="s">
        <v>1869</v>
      </c>
    </row>
    <row r="1404" spans="1:10">
      <c r="A1404" s="1">
        <f>HYPERLINK("https://cms.ls-nyc.org/matter/dynamic-profile/view/1869169","18-1869169")</f>
        <v>0</v>
      </c>
      <c r="B1404" t="s">
        <v>10</v>
      </c>
      <c r="C1404" t="s">
        <v>16</v>
      </c>
      <c r="D1404" t="s">
        <v>1168</v>
      </c>
      <c r="E1404" t="s">
        <v>1814</v>
      </c>
      <c r="F1404" t="s">
        <v>1853</v>
      </c>
      <c r="G1404" t="s">
        <v>1862</v>
      </c>
      <c r="H1404" t="s">
        <v>1863</v>
      </c>
      <c r="J1404" t="s">
        <v>1869</v>
      </c>
    </row>
    <row r="1405" spans="1:10">
      <c r="A1405" s="1">
        <f>HYPERLINK("https://cms.ls-nyc.org/matter/dynamic-profile/view/1869036","18-1869036")</f>
        <v>0</v>
      </c>
      <c r="B1405" t="s">
        <v>10</v>
      </c>
      <c r="C1405" t="s">
        <v>16</v>
      </c>
      <c r="D1405" t="s">
        <v>1169</v>
      </c>
      <c r="E1405" t="s">
        <v>1815</v>
      </c>
      <c r="F1405" t="s">
        <v>1853</v>
      </c>
      <c r="G1405" t="s">
        <v>1862</v>
      </c>
      <c r="J1405" t="s">
        <v>1868</v>
      </c>
    </row>
    <row r="1406" spans="1:10">
      <c r="A1406" s="1">
        <f>HYPERLINK("https://cms.ls-nyc.org/matter/dynamic-profile/view/1869019","18-1869019")</f>
        <v>0</v>
      </c>
      <c r="B1406" t="s">
        <v>10</v>
      </c>
      <c r="C1406" t="s">
        <v>16</v>
      </c>
      <c r="D1406" t="s">
        <v>425</v>
      </c>
      <c r="E1406" t="s">
        <v>1815</v>
      </c>
      <c r="F1406" t="s">
        <v>1858</v>
      </c>
      <c r="G1406" t="s">
        <v>1862</v>
      </c>
      <c r="J1406" t="s">
        <v>1868</v>
      </c>
    </row>
    <row r="1407" spans="1:10">
      <c r="A1407" s="1">
        <f>HYPERLINK("https://cms.ls-nyc.org/matter/dynamic-profile/view/1869022","18-1869022")</f>
        <v>0</v>
      </c>
      <c r="B1407" t="s">
        <v>11</v>
      </c>
      <c r="C1407" t="s">
        <v>32</v>
      </c>
      <c r="D1407" t="s">
        <v>1170</v>
      </c>
      <c r="E1407" t="s">
        <v>1804</v>
      </c>
      <c r="F1407" t="s">
        <v>1853</v>
      </c>
      <c r="G1407" t="s">
        <v>1862</v>
      </c>
      <c r="H1407" t="s">
        <v>1863</v>
      </c>
      <c r="J1407" t="s">
        <v>1867</v>
      </c>
    </row>
    <row r="1408" spans="1:10">
      <c r="A1408" s="1">
        <f>HYPERLINK("https://cms.ls-nyc.org/matter/dynamic-profile/view/1869053","18-1869053")</f>
        <v>0</v>
      </c>
      <c r="B1408" t="s">
        <v>10</v>
      </c>
      <c r="C1408" t="s">
        <v>16</v>
      </c>
      <c r="D1408" t="s">
        <v>1171</v>
      </c>
      <c r="E1408" t="s">
        <v>1815</v>
      </c>
      <c r="F1408" t="s">
        <v>1853</v>
      </c>
      <c r="G1408" t="s">
        <v>1862</v>
      </c>
      <c r="H1408" t="s">
        <v>1863</v>
      </c>
      <c r="J1408" t="s">
        <v>1868</v>
      </c>
    </row>
    <row r="1409" spans="1:10">
      <c r="A1409" s="1">
        <f>HYPERLINK("https://cms.ls-nyc.org/matter/dynamic-profile/view/1866802","18-1866802")</f>
        <v>0</v>
      </c>
      <c r="B1409" t="s">
        <v>13</v>
      </c>
      <c r="C1409" t="s">
        <v>43</v>
      </c>
      <c r="D1409" t="s">
        <v>299</v>
      </c>
      <c r="E1409" t="s">
        <v>1807</v>
      </c>
      <c r="F1409" t="s">
        <v>1853</v>
      </c>
      <c r="G1409" t="s">
        <v>1862</v>
      </c>
      <c r="H1409" t="s">
        <v>1863</v>
      </c>
      <c r="J1409" t="s">
        <v>1869</v>
      </c>
    </row>
    <row r="1410" spans="1:10">
      <c r="A1410" s="1">
        <f>HYPERLINK("https://cms.ls-nyc.org/matter/dynamic-profile/view/1868931","18-1868931")</f>
        <v>0</v>
      </c>
      <c r="B1410" t="s">
        <v>10</v>
      </c>
      <c r="C1410" t="s">
        <v>16</v>
      </c>
      <c r="D1410" t="s">
        <v>1172</v>
      </c>
      <c r="E1410" t="s">
        <v>1815</v>
      </c>
      <c r="F1410" t="s">
        <v>1853</v>
      </c>
      <c r="G1410" t="s">
        <v>1862</v>
      </c>
      <c r="H1410" t="s">
        <v>1863</v>
      </c>
      <c r="J1410" t="s">
        <v>1869</v>
      </c>
    </row>
    <row r="1411" spans="1:10">
      <c r="A1411" s="1">
        <f>HYPERLINK("https://cms.ls-nyc.org/matter/dynamic-profile/view/1868972","18-1868972")</f>
        <v>0</v>
      </c>
      <c r="B1411" t="s">
        <v>10</v>
      </c>
      <c r="C1411" t="s">
        <v>16</v>
      </c>
      <c r="D1411" t="s">
        <v>1173</v>
      </c>
      <c r="E1411" t="s">
        <v>1810</v>
      </c>
      <c r="F1411" t="s">
        <v>1853</v>
      </c>
      <c r="G1411" t="s">
        <v>1862</v>
      </c>
      <c r="H1411" t="s">
        <v>1863</v>
      </c>
      <c r="J1411" t="s">
        <v>1869</v>
      </c>
    </row>
    <row r="1412" spans="1:10">
      <c r="A1412" s="1">
        <f>HYPERLINK("https://cms.ls-nyc.org/matter/dynamic-profile/view/1868976","18-1868976")</f>
        <v>0</v>
      </c>
      <c r="B1412" t="s">
        <v>10</v>
      </c>
      <c r="C1412" t="s">
        <v>16</v>
      </c>
      <c r="D1412" t="s">
        <v>1174</v>
      </c>
      <c r="E1412" t="s">
        <v>1815</v>
      </c>
      <c r="F1412" t="s">
        <v>1853</v>
      </c>
      <c r="G1412" t="s">
        <v>1862</v>
      </c>
      <c r="H1412" t="s">
        <v>1863</v>
      </c>
      <c r="J1412" t="s">
        <v>1867</v>
      </c>
    </row>
    <row r="1413" spans="1:10">
      <c r="A1413" s="1">
        <f>HYPERLINK("https://cms.ls-nyc.org/matter/dynamic-profile/view/1869035","18-1869035")</f>
        <v>0</v>
      </c>
      <c r="B1413" t="s">
        <v>10</v>
      </c>
      <c r="C1413" t="s">
        <v>16</v>
      </c>
      <c r="D1413" t="s">
        <v>1175</v>
      </c>
      <c r="E1413" t="s">
        <v>1815</v>
      </c>
      <c r="F1413" t="s">
        <v>1853</v>
      </c>
      <c r="G1413" t="s">
        <v>1862</v>
      </c>
      <c r="H1413" t="s">
        <v>1863</v>
      </c>
      <c r="J1413" t="s">
        <v>1867</v>
      </c>
    </row>
    <row r="1414" spans="1:10">
      <c r="A1414" s="1">
        <f>HYPERLINK("https://cms.ls-nyc.org/matter/dynamic-profile/view/1869041","18-1869041")</f>
        <v>0</v>
      </c>
      <c r="B1414" t="s">
        <v>10</v>
      </c>
      <c r="C1414" t="s">
        <v>16</v>
      </c>
      <c r="D1414" t="s">
        <v>190</v>
      </c>
      <c r="E1414" t="s">
        <v>1815</v>
      </c>
      <c r="F1414" t="s">
        <v>1853</v>
      </c>
      <c r="G1414" t="s">
        <v>1862</v>
      </c>
      <c r="H1414" t="s">
        <v>1863</v>
      </c>
      <c r="J1414" t="s">
        <v>1867</v>
      </c>
    </row>
    <row r="1415" spans="1:10">
      <c r="A1415" s="1">
        <f>HYPERLINK("https://cms.ls-nyc.org/matter/dynamic-profile/view/1869044","18-1869044")</f>
        <v>0</v>
      </c>
      <c r="B1415" t="s">
        <v>10</v>
      </c>
      <c r="C1415" t="s">
        <v>16</v>
      </c>
      <c r="D1415" t="s">
        <v>1176</v>
      </c>
      <c r="E1415" t="s">
        <v>1815</v>
      </c>
      <c r="F1415" t="s">
        <v>1853</v>
      </c>
      <c r="G1415" t="s">
        <v>1862</v>
      </c>
      <c r="H1415" t="s">
        <v>1863</v>
      </c>
      <c r="J1415" t="s">
        <v>1867</v>
      </c>
    </row>
    <row r="1416" spans="1:10">
      <c r="A1416" s="1">
        <f>HYPERLINK("https://cms.ls-nyc.org/matter/dynamic-profile/view/1869048","18-1869048")</f>
        <v>0</v>
      </c>
      <c r="B1416" t="s">
        <v>10</v>
      </c>
      <c r="C1416" t="s">
        <v>16</v>
      </c>
      <c r="D1416" t="s">
        <v>1177</v>
      </c>
      <c r="E1416" t="s">
        <v>1799</v>
      </c>
      <c r="F1416" t="s">
        <v>1853</v>
      </c>
      <c r="G1416" t="s">
        <v>1862</v>
      </c>
      <c r="H1416" t="s">
        <v>1863</v>
      </c>
      <c r="J1416" t="s">
        <v>1867</v>
      </c>
    </row>
    <row r="1417" spans="1:10">
      <c r="A1417" s="1">
        <f>HYPERLINK("https://cms.ls-nyc.org/matter/dynamic-profile/view/1869050","18-1869050")</f>
        <v>0</v>
      </c>
      <c r="B1417" t="s">
        <v>10</v>
      </c>
      <c r="C1417" t="s">
        <v>16</v>
      </c>
      <c r="D1417" t="s">
        <v>1178</v>
      </c>
      <c r="E1417" t="s">
        <v>1799</v>
      </c>
      <c r="F1417" t="s">
        <v>1853</v>
      </c>
      <c r="G1417" t="s">
        <v>1862</v>
      </c>
      <c r="H1417" t="s">
        <v>1863</v>
      </c>
      <c r="J1417" t="s">
        <v>1869</v>
      </c>
    </row>
    <row r="1418" spans="1:10">
      <c r="A1418" s="1">
        <f>HYPERLINK("https://cms.ls-nyc.org/matter/dynamic-profile/view/1869058","18-1869058")</f>
        <v>0</v>
      </c>
      <c r="B1418" t="s">
        <v>10</v>
      </c>
      <c r="C1418" t="s">
        <v>16</v>
      </c>
      <c r="D1418" t="s">
        <v>1179</v>
      </c>
      <c r="E1418" t="s">
        <v>1815</v>
      </c>
      <c r="F1418" t="s">
        <v>1853</v>
      </c>
      <c r="G1418" t="s">
        <v>1862</v>
      </c>
      <c r="H1418" t="s">
        <v>1863</v>
      </c>
      <c r="J1418" t="s">
        <v>1869</v>
      </c>
    </row>
    <row r="1419" spans="1:10">
      <c r="A1419" s="1">
        <f>HYPERLINK("https://cms.ls-nyc.org/matter/dynamic-profile/view/1869060","18-1869060")</f>
        <v>0</v>
      </c>
      <c r="B1419" t="s">
        <v>11</v>
      </c>
      <c r="C1419" t="s">
        <v>38</v>
      </c>
      <c r="D1419" t="s">
        <v>1180</v>
      </c>
      <c r="E1419" t="s">
        <v>1815</v>
      </c>
      <c r="F1419" t="s">
        <v>1853</v>
      </c>
      <c r="G1419" t="s">
        <v>1862</v>
      </c>
      <c r="H1419" t="s">
        <v>1863</v>
      </c>
      <c r="J1419" t="s">
        <v>1867</v>
      </c>
    </row>
    <row r="1420" spans="1:10">
      <c r="A1420" s="1">
        <f>HYPERLINK("https://cms.ls-nyc.org/matter/dynamic-profile/view/1869061","18-1869061")</f>
        <v>0</v>
      </c>
      <c r="B1420" t="s">
        <v>10</v>
      </c>
      <c r="C1420" t="s">
        <v>16</v>
      </c>
      <c r="D1420" t="s">
        <v>1181</v>
      </c>
      <c r="E1420" t="s">
        <v>1815</v>
      </c>
      <c r="F1420" t="s">
        <v>1853</v>
      </c>
      <c r="G1420" t="s">
        <v>1862</v>
      </c>
      <c r="H1420" t="s">
        <v>1863</v>
      </c>
      <c r="J1420" t="s">
        <v>1867</v>
      </c>
    </row>
    <row r="1421" spans="1:10">
      <c r="A1421" s="1">
        <f>HYPERLINK("https://cms.ls-nyc.org/matter/dynamic-profile/view/1869063","18-1869063")</f>
        <v>0</v>
      </c>
      <c r="B1421" t="s">
        <v>11</v>
      </c>
      <c r="C1421" t="s">
        <v>38</v>
      </c>
      <c r="D1421" t="s">
        <v>1182</v>
      </c>
      <c r="E1421" t="s">
        <v>1799</v>
      </c>
      <c r="F1421" t="s">
        <v>1853</v>
      </c>
      <c r="G1421" t="s">
        <v>1862</v>
      </c>
      <c r="H1421" t="s">
        <v>1863</v>
      </c>
      <c r="J1421" t="s">
        <v>1869</v>
      </c>
    </row>
    <row r="1422" spans="1:10">
      <c r="A1422" s="1">
        <f>HYPERLINK("https://cms.ls-nyc.org/matter/dynamic-profile/view/1869065","18-1869065")</f>
        <v>0</v>
      </c>
      <c r="B1422" t="s">
        <v>10</v>
      </c>
      <c r="C1422" t="s">
        <v>16</v>
      </c>
      <c r="D1422" t="s">
        <v>384</v>
      </c>
      <c r="E1422" t="s">
        <v>1805</v>
      </c>
      <c r="F1422" t="s">
        <v>1853</v>
      </c>
      <c r="G1422" t="s">
        <v>1862</v>
      </c>
      <c r="H1422" t="s">
        <v>1863</v>
      </c>
      <c r="J1422" t="s">
        <v>1869</v>
      </c>
    </row>
    <row r="1423" spans="1:10">
      <c r="A1423" s="1">
        <f>HYPERLINK("https://cms.ls-nyc.org/matter/dynamic-profile/view/1868930","18-1868930")</f>
        <v>0</v>
      </c>
      <c r="B1423" t="s">
        <v>10</v>
      </c>
      <c r="C1423" t="s">
        <v>16</v>
      </c>
      <c r="D1423" t="s">
        <v>1183</v>
      </c>
      <c r="E1423" t="s">
        <v>1810</v>
      </c>
      <c r="F1423" t="s">
        <v>1853</v>
      </c>
      <c r="G1423" t="s">
        <v>1862</v>
      </c>
      <c r="H1423" t="s">
        <v>1863</v>
      </c>
      <c r="J1423" t="s">
        <v>1869</v>
      </c>
    </row>
    <row r="1424" spans="1:10">
      <c r="A1424" s="1">
        <f>HYPERLINK("https://cms.ls-nyc.org/matter/dynamic-profile/view/1868807","18-1868807")</f>
        <v>0</v>
      </c>
      <c r="B1424" t="s">
        <v>12</v>
      </c>
      <c r="C1424" t="s">
        <v>49</v>
      </c>
      <c r="D1424" t="s">
        <v>1184</v>
      </c>
      <c r="E1424" t="s">
        <v>1812</v>
      </c>
      <c r="G1424" t="s">
        <v>1862</v>
      </c>
      <c r="J1424" t="s">
        <v>1868</v>
      </c>
    </row>
    <row r="1425" spans="1:10">
      <c r="A1425" s="1">
        <f>HYPERLINK("https://cms.ls-nyc.org/matter/dynamic-profile/view/1868800","18-1868800")</f>
        <v>0</v>
      </c>
      <c r="B1425" t="s">
        <v>10</v>
      </c>
      <c r="C1425" t="s">
        <v>16</v>
      </c>
      <c r="D1425" t="s">
        <v>1185</v>
      </c>
      <c r="E1425" t="s">
        <v>1815</v>
      </c>
      <c r="F1425" t="s">
        <v>1858</v>
      </c>
      <c r="G1425" t="s">
        <v>1862</v>
      </c>
      <c r="H1425" t="s">
        <v>1863</v>
      </c>
      <c r="J1425" t="s">
        <v>1868</v>
      </c>
    </row>
    <row r="1426" spans="1:10">
      <c r="A1426" s="1">
        <f>HYPERLINK("https://cms.ls-nyc.org/matter/dynamic-profile/view/1868879","18-1868879")</f>
        <v>0</v>
      </c>
      <c r="B1426" t="s">
        <v>12</v>
      </c>
      <c r="C1426" t="s">
        <v>49</v>
      </c>
      <c r="D1426" t="s">
        <v>1186</v>
      </c>
      <c r="E1426" t="s">
        <v>1816</v>
      </c>
      <c r="G1426" t="s">
        <v>1862</v>
      </c>
      <c r="J1426" t="s">
        <v>1868</v>
      </c>
    </row>
    <row r="1427" spans="1:10">
      <c r="A1427" s="1">
        <f>HYPERLINK("https://cms.ls-nyc.org/matter/dynamic-profile/view/1868882","18-1868882")</f>
        <v>0</v>
      </c>
      <c r="B1427" t="s">
        <v>12</v>
      </c>
      <c r="C1427" t="s">
        <v>49</v>
      </c>
      <c r="D1427" t="s">
        <v>1186</v>
      </c>
      <c r="E1427" t="s">
        <v>1804</v>
      </c>
      <c r="G1427" t="s">
        <v>1862</v>
      </c>
      <c r="J1427" t="s">
        <v>1868</v>
      </c>
    </row>
    <row r="1428" spans="1:10">
      <c r="A1428" s="1">
        <f>HYPERLINK("https://cms.ls-nyc.org/matter/dynamic-profile/view/1868886","18-1868886")</f>
        <v>0</v>
      </c>
      <c r="B1428" t="s">
        <v>10</v>
      </c>
      <c r="C1428" t="s">
        <v>16</v>
      </c>
      <c r="D1428" t="s">
        <v>1187</v>
      </c>
      <c r="E1428" t="s">
        <v>1815</v>
      </c>
      <c r="F1428" t="s">
        <v>1858</v>
      </c>
      <c r="G1428" t="s">
        <v>1862</v>
      </c>
      <c r="H1428" t="s">
        <v>1863</v>
      </c>
      <c r="J1428" t="s">
        <v>1868</v>
      </c>
    </row>
    <row r="1429" spans="1:10">
      <c r="A1429" s="1">
        <f>HYPERLINK("https://cms.ls-nyc.org/matter/dynamic-profile/view/1868816","18-1868816")</f>
        <v>0</v>
      </c>
      <c r="B1429" t="s">
        <v>10</v>
      </c>
      <c r="C1429" t="s">
        <v>16</v>
      </c>
      <c r="D1429" t="s">
        <v>1188</v>
      </c>
      <c r="E1429" t="s">
        <v>1815</v>
      </c>
      <c r="F1429" t="s">
        <v>1858</v>
      </c>
      <c r="G1429" t="s">
        <v>1862</v>
      </c>
      <c r="H1429" t="s">
        <v>1863</v>
      </c>
      <c r="I1429" t="s">
        <v>1865</v>
      </c>
      <c r="J1429" t="s">
        <v>1866</v>
      </c>
    </row>
    <row r="1430" spans="1:10">
      <c r="A1430" s="1">
        <f>HYPERLINK("https://cms.ls-nyc.org/matter/dynamic-profile/view/1868855","18-1868855")</f>
        <v>0</v>
      </c>
      <c r="B1430" t="s">
        <v>10</v>
      </c>
      <c r="C1430" t="s">
        <v>16</v>
      </c>
      <c r="D1430" t="s">
        <v>1189</v>
      </c>
      <c r="E1430" t="s">
        <v>1815</v>
      </c>
      <c r="F1430" t="s">
        <v>1858</v>
      </c>
      <c r="G1430" t="s">
        <v>1862</v>
      </c>
      <c r="J1430" t="s">
        <v>1868</v>
      </c>
    </row>
    <row r="1431" spans="1:10">
      <c r="A1431" s="1">
        <f>HYPERLINK("https://cms.ls-nyc.org/matter/dynamic-profile/view/1868861","18-1868861")</f>
        <v>0</v>
      </c>
      <c r="B1431" t="s">
        <v>12</v>
      </c>
      <c r="C1431" t="s">
        <v>33</v>
      </c>
      <c r="D1431" t="s">
        <v>1190</v>
      </c>
      <c r="E1431" t="s">
        <v>1800</v>
      </c>
      <c r="G1431" t="s">
        <v>1862</v>
      </c>
      <c r="J1431" t="s">
        <v>1868</v>
      </c>
    </row>
    <row r="1432" spans="1:10">
      <c r="A1432" s="1">
        <f>HYPERLINK("https://cms.ls-nyc.org/matter/dynamic-profile/view/1868878","18-1868878")</f>
        <v>0</v>
      </c>
      <c r="B1432" t="s">
        <v>10</v>
      </c>
      <c r="C1432" t="s">
        <v>30</v>
      </c>
      <c r="D1432" t="s">
        <v>1191</v>
      </c>
      <c r="E1432" t="s">
        <v>1815</v>
      </c>
      <c r="F1432" t="s">
        <v>1858</v>
      </c>
      <c r="G1432" t="s">
        <v>1862</v>
      </c>
      <c r="H1432" t="s">
        <v>1863</v>
      </c>
      <c r="J1432" t="s">
        <v>1868</v>
      </c>
    </row>
    <row r="1433" spans="1:10">
      <c r="A1433" s="1">
        <f>HYPERLINK("https://cms.ls-nyc.org/matter/dynamic-profile/view/1868771","18-1868771")</f>
        <v>0</v>
      </c>
      <c r="B1433" t="s">
        <v>15</v>
      </c>
      <c r="C1433" t="s">
        <v>34</v>
      </c>
      <c r="D1433" t="s">
        <v>1192</v>
      </c>
      <c r="E1433" t="s">
        <v>1821</v>
      </c>
      <c r="F1433" t="s">
        <v>1853</v>
      </c>
      <c r="G1433" t="s">
        <v>1862</v>
      </c>
      <c r="H1433" t="s">
        <v>1863</v>
      </c>
      <c r="J1433" t="s">
        <v>1867</v>
      </c>
    </row>
    <row r="1434" spans="1:10">
      <c r="A1434" s="1">
        <f>HYPERLINK("https://cms.ls-nyc.org/matter/dynamic-profile/view/1868782","18-1868782")</f>
        <v>0</v>
      </c>
      <c r="B1434" t="s">
        <v>10</v>
      </c>
      <c r="C1434" t="s">
        <v>16</v>
      </c>
      <c r="D1434" t="s">
        <v>187</v>
      </c>
      <c r="E1434" t="s">
        <v>1815</v>
      </c>
      <c r="F1434" t="s">
        <v>1853</v>
      </c>
      <c r="G1434" t="s">
        <v>1862</v>
      </c>
      <c r="H1434" t="s">
        <v>1863</v>
      </c>
      <c r="J1434" t="s">
        <v>1867</v>
      </c>
    </row>
    <row r="1435" spans="1:10">
      <c r="A1435" s="1">
        <f>HYPERLINK("https://cms.ls-nyc.org/matter/dynamic-profile/view/1868810","18-1868810")</f>
        <v>0</v>
      </c>
      <c r="B1435" t="s">
        <v>10</v>
      </c>
      <c r="C1435" t="s">
        <v>16</v>
      </c>
      <c r="D1435" t="s">
        <v>1193</v>
      </c>
      <c r="E1435" t="s">
        <v>1815</v>
      </c>
      <c r="F1435" t="s">
        <v>1853</v>
      </c>
      <c r="G1435" t="s">
        <v>1862</v>
      </c>
      <c r="H1435" t="s">
        <v>1863</v>
      </c>
      <c r="J1435" t="s">
        <v>1867</v>
      </c>
    </row>
    <row r="1436" spans="1:10">
      <c r="A1436" s="1">
        <f>HYPERLINK("https://cms.ls-nyc.org/matter/dynamic-profile/view/1868814","18-1868814")</f>
        <v>0</v>
      </c>
      <c r="B1436" t="s">
        <v>10</v>
      </c>
      <c r="C1436" t="s">
        <v>16</v>
      </c>
      <c r="D1436" t="s">
        <v>1194</v>
      </c>
      <c r="E1436" t="s">
        <v>1815</v>
      </c>
      <c r="F1436" t="s">
        <v>1853</v>
      </c>
      <c r="G1436" t="s">
        <v>1862</v>
      </c>
      <c r="H1436" t="s">
        <v>1863</v>
      </c>
      <c r="J1436" t="s">
        <v>1867</v>
      </c>
    </row>
    <row r="1437" spans="1:10">
      <c r="A1437" s="1">
        <f>HYPERLINK("https://cms.ls-nyc.org/matter/dynamic-profile/view/1868859","18-1868859")</f>
        <v>0</v>
      </c>
      <c r="B1437" t="s">
        <v>10</v>
      </c>
      <c r="C1437" t="s">
        <v>16</v>
      </c>
      <c r="D1437" t="s">
        <v>1195</v>
      </c>
      <c r="E1437" t="s">
        <v>1815</v>
      </c>
      <c r="F1437" t="s">
        <v>1853</v>
      </c>
      <c r="G1437" t="s">
        <v>1862</v>
      </c>
      <c r="H1437" t="s">
        <v>1863</v>
      </c>
      <c r="J1437" t="s">
        <v>1867</v>
      </c>
    </row>
    <row r="1438" spans="1:10">
      <c r="A1438" s="1">
        <f>HYPERLINK("https://cms.ls-nyc.org/matter/dynamic-profile/view/1868862","18-1868862")</f>
        <v>0</v>
      </c>
      <c r="B1438" t="s">
        <v>10</v>
      </c>
      <c r="C1438" t="s">
        <v>30</v>
      </c>
      <c r="D1438" t="s">
        <v>1196</v>
      </c>
      <c r="F1438" t="s">
        <v>1856</v>
      </c>
      <c r="G1438" t="s">
        <v>1862</v>
      </c>
      <c r="H1438" t="s">
        <v>1863</v>
      </c>
      <c r="J1438" t="s">
        <v>1866</v>
      </c>
    </row>
    <row r="1439" spans="1:10">
      <c r="A1439" s="1">
        <f>HYPERLINK("https://cms.ls-nyc.org/matter/dynamic-profile/view/1868870","18-1868870")</f>
        <v>0</v>
      </c>
      <c r="B1439" t="s">
        <v>10</v>
      </c>
      <c r="C1439" t="s">
        <v>30</v>
      </c>
      <c r="D1439" t="s">
        <v>1197</v>
      </c>
      <c r="E1439" t="s">
        <v>1815</v>
      </c>
      <c r="F1439" t="s">
        <v>1858</v>
      </c>
      <c r="G1439" t="s">
        <v>1862</v>
      </c>
      <c r="H1439" t="s">
        <v>1863</v>
      </c>
      <c r="J1439" t="s">
        <v>1868</v>
      </c>
    </row>
    <row r="1440" spans="1:10">
      <c r="A1440" s="1">
        <f>HYPERLINK("https://cms.ls-nyc.org/matter/dynamic-profile/view/1868875","18-1868875")</f>
        <v>0</v>
      </c>
      <c r="B1440" t="s">
        <v>11</v>
      </c>
      <c r="C1440" t="s">
        <v>38</v>
      </c>
      <c r="D1440" t="s">
        <v>1198</v>
      </c>
      <c r="E1440" t="s">
        <v>1815</v>
      </c>
      <c r="F1440" t="s">
        <v>1853</v>
      </c>
      <c r="G1440" t="s">
        <v>1862</v>
      </c>
      <c r="H1440" t="s">
        <v>1863</v>
      </c>
      <c r="J1440" t="s">
        <v>1867</v>
      </c>
    </row>
    <row r="1441" spans="1:10">
      <c r="A1441" s="1">
        <f>HYPERLINK("https://cms.ls-nyc.org/matter/dynamic-profile/view/1868907","18-1868907")</f>
        <v>0</v>
      </c>
      <c r="B1441" t="s">
        <v>10</v>
      </c>
      <c r="C1441" t="s">
        <v>16</v>
      </c>
      <c r="D1441" t="s">
        <v>1199</v>
      </c>
      <c r="E1441" t="s">
        <v>1807</v>
      </c>
      <c r="F1441" t="s">
        <v>1853</v>
      </c>
      <c r="G1441" t="s">
        <v>1862</v>
      </c>
      <c r="H1441" t="s">
        <v>1863</v>
      </c>
      <c r="I1441" t="s">
        <v>1865</v>
      </c>
      <c r="J1441" t="s">
        <v>1866</v>
      </c>
    </row>
    <row r="1442" spans="1:10">
      <c r="A1442" s="1">
        <f>HYPERLINK("https://cms.ls-nyc.org/matter/dynamic-profile/view/1868708","18-1868708")</f>
        <v>0</v>
      </c>
      <c r="B1442" t="s">
        <v>10</v>
      </c>
      <c r="C1442" t="s">
        <v>16</v>
      </c>
      <c r="D1442" t="s">
        <v>1200</v>
      </c>
      <c r="E1442" t="s">
        <v>1815</v>
      </c>
      <c r="F1442" t="s">
        <v>1858</v>
      </c>
      <c r="G1442" t="s">
        <v>1862</v>
      </c>
      <c r="H1442" t="s">
        <v>1863</v>
      </c>
      <c r="J1442" t="s">
        <v>1868</v>
      </c>
    </row>
    <row r="1443" spans="1:10">
      <c r="A1443" s="1">
        <f>HYPERLINK("https://cms.ls-nyc.org/matter/dynamic-profile/view/1868648","18-1868648")</f>
        <v>0</v>
      </c>
      <c r="B1443" t="s">
        <v>11</v>
      </c>
      <c r="C1443" t="s">
        <v>41</v>
      </c>
      <c r="D1443" t="s">
        <v>1201</v>
      </c>
      <c r="E1443" t="s">
        <v>1815</v>
      </c>
      <c r="F1443" t="s">
        <v>1856</v>
      </c>
      <c r="G1443" t="s">
        <v>1862</v>
      </c>
      <c r="H1443" t="s">
        <v>1863</v>
      </c>
      <c r="I1443" t="s">
        <v>1865</v>
      </c>
      <c r="J1443" t="s">
        <v>1866</v>
      </c>
    </row>
    <row r="1444" spans="1:10">
      <c r="A1444" s="1">
        <f>HYPERLINK("https://cms.ls-nyc.org/matter/dynamic-profile/view/1868665","18-1868665")</f>
        <v>0</v>
      </c>
      <c r="B1444" t="s">
        <v>10</v>
      </c>
      <c r="C1444" t="s">
        <v>16</v>
      </c>
      <c r="D1444" t="s">
        <v>1202</v>
      </c>
      <c r="E1444" t="s">
        <v>1814</v>
      </c>
      <c r="F1444" t="s">
        <v>1853</v>
      </c>
      <c r="G1444" t="s">
        <v>1862</v>
      </c>
      <c r="H1444" t="s">
        <v>1863</v>
      </c>
      <c r="J1444" t="s">
        <v>1869</v>
      </c>
    </row>
    <row r="1445" spans="1:10">
      <c r="A1445" s="1">
        <f>HYPERLINK("https://cms.ls-nyc.org/matter/dynamic-profile/view/1868678","18-1868678")</f>
        <v>0</v>
      </c>
      <c r="B1445" t="s">
        <v>10</v>
      </c>
      <c r="C1445" t="s">
        <v>16</v>
      </c>
      <c r="D1445" t="s">
        <v>1203</v>
      </c>
      <c r="E1445" t="s">
        <v>1807</v>
      </c>
      <c r="F1445" t="s">
        <v>1853</v>
      </c>
      <c r="G1445" t="s">
        <v>1862</v>
      </c>
      <c r="H1445" t="s">
        <v>1863</v>
      </c>
      <c r="J1445" t="s">
        <v>1869</v>
      </c>
    </row>
    <row r="1446" spans="1:10">
      <c r="A1446" s="1">
        <f>HYPERLINK("https://cms.ls-nyc.org/matter/dynamic-profile/view/1868697","18-1868697")</f>
        <v>0</v>
      </c>
      <c r="B1446" t="s">
        <v>10</v>
      </c>
      <c r="C1446" t="s">
        <v>16</v>
      </c>
      <c r="D1446" t="s">
        <v>1204</v>
      </c>
      <c r="E1446" t="s">
        <v>1810</v>
      </c>
      <c r="F1446" t="s">
        <v>1853</v>
      </c>
      <c r="G1446" t="s">
        <v>1862</v>
      </c>
      <c r="H1446" t="s">
        <v>1863</v>
      </c>
      <c r="J1446" t="s">
        <v>1869</v>
      </c>
    </row>
    <row r="1447" spans="1:10">
      <c r="A1447" s="1">
        <f>HYPERLINK("https://cms.ls-nyc.org/matter/dynamic-profile/view/1868717","18-1868717")</f>
        <v>0</v>
      </c>
      <c r="B1447" t="s">
        <v>10</v>
      </c>
      <c r="C1447" t="s">
        <v>16</v>
      </c>
      <c r="D1447" t="s">
        <v>1205</v>
      </c>
      <c r="E1447" t="s">
        <v>1815</v>
      </c>
      <c r="F1447" t="s">
        <v>1853</v>
      </c>
      <c r="G1447" t="s">
        <v>1862</v>
      </c>
      <c r="H1447" t="s">
        <v>1863</v>
      </c>
      <c r="J1447" t="s">
        <v>1869</v>
      </c>
    </row>
    <row r="1448" spans="1:10">
      <c r="A1448" s="1">
        <f>HYPERLINK("https://cms.ls-nyc.org/matter/dynamic-profile/view/1868720","18-1868720")</f>
        <v>0</v>
      </c>
      <c r="B1448" t="s">
        <v>10</v>
      </c>
      <c r="C1448" t="s">
        <v>16</v>
      </c>
      <c r="D1448" t="s">
        <v>1206</v>
      </c>
      <c r="E1448" t="s">
        <v>1799</v>
      </c>
      <c r="F1448" t="s">
        <v>1853</v>
      </c>
      <c r="G1448" t="s">
        <v>1862</v>
      </c>
      <c r="H1448" t="s">
        <v>1863</v>
      </c>
      <c r="J1448" t="s">
        <v>1869</v>
      </c>
    </row>
    <row r="1449" spans="1:10">
      <c r="A1449" s="1">
        <f>HYPERLINK("https://cms.ls-nyc.org/matter/dynamic-profile/view/1868736","18-1868736")</f>
        <v>0</v>
      </c>
      <c r="B1449" t="s">
        <v>10</v>
      </c>
      <c r="C1449" t="s">
        <v>16</v>
      </c>
      <c r="D1449" t="s">
        <v>1207</v>
      </c>
      <c r="E1449" t="s">
        <v>1810</v>
      </c>
      <c r="F1449" t="s">
        <v>1853</v>
      </c>
      <c r="G1449" t="s">
        <v>1862</v>
      </c>
      <c r="H1449" t="s">
        <v>1863</v>
      </c>
      <c r="J1449" t="s">
        <v>1869</v>
      </c>
    </row>
    <row r="1450" spans="1:10">
      <c r="A1450" s="1">
        <f>HYPERLINK("https://cms.ls-nyc.org/matter/dynamic-profile/view/1868741","18-1868741")</f>
        <v>0</v>
      </c>
      <c r="B1450" t="s">
        <v>10</v>
      </c>
      <c r="C1450" t="s">
        <v>16</v>
      </c>
      <c r="D1450" t="s">
        <v>1207</v>
      </c>
      <c r="E1450" t="s">
        <v>1799</v>
      </c>
      <c r="F1450" t="s">
        <v>1853</v>
      </c>
      <c r="G1450" t="s">
        <v>1862</v>
      </c>
      <c r="H1450" t="s">
        <v>1863</v>
      </c>
      <c r="J1450" t="s">
        <v>1867</v>
      </c>
    </row>
    <row r="1451" spans="1:10">
      <c r="A1451" s="1">
        <f>HYPERLINK("https://cms.ls-nyc.org/matter/dynamic-profile/view/1868755","18-1868755")</f>
        <v>0</v>
      </c>
      <c r="B1451" t="s">
        <v>10</v>
      </c>
      <c r="C1451" t="s">
        <v>16</v>
      </c>
      <c r="D1451" t="s">
        <v>196</v>
      </c>
      <c r="E1451" t="s">
        <v>1815</v>
      </c>
      <c r="F1451" t="s">
        <v>1853</v>
      </c>
      <c r="G1451" t="s">
        <v>1862</v>
      </c>
      <c r="H1451" t="s">
        <v>1863</v>
      </c>
      <c r="J1451" t="s">
        <v>1867</v>
      </c>
    </row>
    <row r="1452" spans="1:10">
      <c r="A1452" s="1">
        <f>HYPERLINK("https://cms.ls-nyc.org/matter/dynamic-profile/view/1869613","18-1869613")</f>
        <v>0</v>
      </c>
      <c r="B1452" t="s">
        <v>11</v>
      </c>
      <c r="C1452" t="s">
        <v>60</v>
      </c>
      <c r="D1452" t="s">
        <v>1208</v>
      </c>
      <c r="E1452" t="s">
        <v>1815</v>
      </c>
      <c r="G1452" t="s">
        <v>1862</v>
      </c>
      <c r="J1452" t="s">
        <v>1867</v>
      </c>
    </row>
    <row r="1453" spans="1:10">
      <c r="A1453" s="1">
        <f>HYPERLINK("https://cms.ls-nyc.org/matter/dynamic-profile/view/1868513","18-1868513")</f>
        <v>0</v>
      </c>
      <c r="B1453" t="s">
        <v>10</v>
      </c>
      <c r="C1453" t="s">
        <v>16</v>
      </c>
      <c r="D1453" t="s">
        <v>1209</v>
      </c>
      <c r="E1453" t="s">
        <v>1807</v>
      </c>
      <c r="F1453" t="s">
        <v>1853</v>
      </c>
      <c r="G1453" t="s">
        <v>1862</v>
      </c>
      <c r="J1453" t="s">
        <v>1869</v>
      </c>
    </row>
    <row r="1454" spans="1:10">
      <c r="A1454" s="1">
        <f>HYPERLINK("https://cms.ls-nyc.org/matter/dynamic-profile/view/1868597","18-1868597")</f>
        <v>0</v>
      </c>
      <c r="B1454" t="s">
        <v>12</v>
      </c>
      <c r="C1454" t="s">
        <v>20</v>
      </c>
      <c r="D1454" t="s">
        <v>1210</v>
      </c>
      <c r="E1454" t="s">
        <v>1802</v>
      </c>
      <c r="F1454" t="s">
        <v>1855</v>
      </c>
      <c r="G1454" t="s">
        <v>1862</v>
      </c>
      <c r="H1454" t="s">
        <v>1863</v>
      </c>
      <c r="J1454" t="s">
        <v>1869</v>
      </c>
    </row>
    <row r="1455" spans="1:10">
      <c r="A1455" s="1">
        <f>HYPERLINK("https://cms.ls-nyc.org/matter/dynamic-profile/view/1868601","18-1868601")</f>
        <v>0</v>
      </c>
      <c r="B1455" t="s">
        <v>12</v>
      </c>
      <c r="C1455" t="s">
        <v>20</v>
      </c>
      <c r="D1455" t="s">
        <v>1211</v>
      </c>
      <c r="E1455" t="s">
        <v>1802</v>
      </c>
      <c r="G1455" t="s">
        <v>1862</v>
      </c>
      <c r="H1455" t="s">
        <v>1863</v>
      </c>
      <c r="J1455" t="s">
        <v>1869</v>
      </c>
    </row>
    <row r="1456" spans="1:10">
      <c r="A1456" s="1">
        <f>HYPERLINK("https://cms.ls-nyc.org/matter/dynamic-profile/view/1868609","18-1868609")</f>
        <v>0</v>
      </c>
      <c r="B1456" t="s">
        <v>10</v>
      </c>
      <c r="C1456" t="s">
        <v>20</v>
      </c>
      <c r="D1456" t="s">
        <v>1212</v>
      </c>
      <c r="E1456" t="s">
        <v>1809</v>
      </c>
      <c r="F1456" t="s">
        <v>1855</v>
      </c>
      <c r="G1456" t="s">
        <v>1862</v>
      </c>
      <c r="H1456" t="s">
        <v>1863</v>
      </c>
      <c r="J1456" t="s">
        <v>1871</v>
      </c>
    </row>
    <row r="1457" spans="1:10">
      <c r="A1457" s="1">
        <f>HYPERLINK("https://cms.ls-nyc.org/matter/dynamic-profile/view/1868621","18-1868621")</f>
        <v>0</v>
      </c>
      <c r="B1457" t="s">
        <v>10</v>
      </c>
      <c r="C1457" t="s">
        <v>20</v>
      </c>
      <c r="D1457" t="s">
        <v>1213</v>
      </c>
      <c r="E1457" t="s">
        <v>1804</v>
      </c>
      <c r="F1457" t="s">
        <v>1853</v>
      </c>
      <c r="G1457" t="s">
        <v>1862</v>
      </c>
      <c r="H1457" t="s">
        <v>1863</v>
      </c>
      <c r="J1457" t="s">
        <v>1867</v>
      </c>
    </row>
    <row r="1458" spans="1:10">
      <c r="A1458" s="1">
        <f>HYPERLINK("https://cms.ls-nyc.org/matter/dynamic-profile/view/1868637","18-1868637")</f>
        <v>0</v>
      </c>
      <c r="B1458" t="s">
        <v>15</v>
      </c>
      <c r="C1458" t="s">
        <v>27</v>
      </c>
      <c r="D1458" t="s">
        <v>1214</v>
      </c>
      <c r="E1458" t="s">
        <v>1816</v>
      </c>
      <c r="F1458" t="s">
        <v>1853</v>
      </c>
      <c r="G1458" t="s">
        <v>1862</v>
      </c>
      <c r="H1458" t="s">
        <v>1863</v>
      </c>
      <c r="J1458" t="s">
        <v>1867</v>
      </c>
    </row>
    <row r="1459" spans="1:10">
      <c r="A1459" s="1">
        <f>HYPERLINK("https://cms.ls-nyc.org/matter/dynamic-profile/view/1868639","18-1868639")</f>
        <v>0</v>
      </c>
      <c r="B1459" t="s">
        <v>15</v>
      </c>
      <c r="C1459" t="s">
        <v>27</v>
      </c>
      <c r="D1459" t="s">
        <v>681</v>
      </c>
      <c r="E1459" t="s">
        <v>1809</v>
      </c>
      <c r="G1459" t="s">
        <v>1862</v>
      </c>
      <c r="J1459" t="s">
        <v>1870</v>
      </c>
    </row>
    <row r="1460" spans="1:10">
      <c r="A1460" s="1">
        <f>HYPERLINK("https://cms.ls-nyc.org/matter/dynamic-profile/view/1868415","18-1868415")</f>
        <v>0</v>
      </c>
      <c r="B1460" t="s">
        <v>10</v>
      </c>
      <c r="C1460" t="s">
        <v>16</v>
      </c>
      <c r="D1460" t="s">
        <v>1215</v>
      </c>
      <c r="E1460" t="s">
        <v>1815</v>
      </c>
      <c r="F1460" t="s">
        <v>1853</v>
      </c>
      <c r="G1460" t="s">
        <v>1862</v>
      </c>
      <c r="J1460" t="s">
        <v>1868</v>
      </c>
    </row>
    <row r="1461" spans="1:10">
      <c r="A1461" s="1">
        <f>HYPERLINK("https://cms.ls-nyc.org/matter/dynamic-profile/view/1865496","18-1865496")</f>
        <v>0</v>
      </c>
      <c r="B1461" t="s">
        <v>13</v>
      </c>
      <c r="C1461" t="s">
        <v>22</v>
      </c>
      <c r="D1461" t="s">
        <v>714</v>
      </c>
      <c r="E1461" t="s">
        <v>1807</v>
      </c>
      <c r="F1461" t="s">
        <v>1853</v>
      </c>
      <c r="G1461" t="s">
        <v>1862</v>
      </c>
      <c r="H1461" t="s">
        <v>1863</v>
      </c>
      <c r="J1461" t="s">
        <v>1869</v>
      </c>
    </row>
    <row r="1462" spans="1:10">
      <c r="A1462" s="1">
        <f>HYPERLINK("https://cms.ls-nyc.org/matter/dynamic-profile/view/1868390","18-1868390")</f>
        <v>0</v>
      </c>
      <c r="B1462" t="s">
        <v>10</v>
      </c>
      <c r="C1462" t="s">
        <v>16</v>
      </c>
      <c r="D1462" t="s">
        <v>1216</v>
      </c>
      <c r="E1462" t="s">
        <v>1809</v>
      </c>
      <c r="F1462" t="s">
        <v>1853</v>
      </c>
      <c r="G1462" t="s">
        <v>1862</v>
      </c>
      <c r="H1462" t="s">
        <v>1863</v>
      </c>
      <c r="J1462" t="s">
        <v>1870</v>
      </c>
    </row>
    <row r="1463" spans="1:10">
      <c r="A1463" s="1">
        <f>HYPERLINK("https://cms.ls-nyc.org/matter/dynamic-profile/view/1868443","18-1868443")</f>
        <v>0</v>
      </c>
      <c r="B1463" t="s">
        <v>10</v>
      </c>
      <c r="C1463" t="s">
        <v>16</v>
      </c>
      <c r="D1463" t="s">
        <v>468</v>
      </c>
      <c r="E1463" t="s">
        <v>1815</v>
      </c>
      <c r="F1463" t="s">
        <v>1853</v>
      </c>
      <c r="G1463" t="s">
        <v>1862</v>
      </c>
      <c r="H1463" t="s">
        <v>1863</v>
      </c>
      <c r="J1463" t="s">
        <v>1869</v>
      </c>
    </row>
    <row r="1464" spans="1:10">
      <c r="A1464" s="1">
        <f>HYPERLINK("https://cms.ls-nyc.org/matter/dynamic-profile/view/1868479","18-1868479")</f>
        <v>0</v>
      </c>
      <c r="B1464" t="s">
        <v>10</v>
      </c>
      <c r="C1464" t="s">
        <v>17</v>
      </c>
      <c r="D1464" t="s">
        <v>181</v>
      </c>
      <c r="E1464" t="s">
        <v>1815</v>
      </c>
      <c r="F1464" t="s">
        <v>1853</v>
      </c>
      <c r="G1464" t="s">
        <v>1862</v>
      </c>
      <c r="H1464" t="s">
        <v>1863</v>
      </c>
      <c r="J1464" t="s">
        <v>1867</v>
      </c>
    </row>
    <row r="1465" spans="1:10">
      <c r="A1465" s="1">
        <f>HYPERLINK("https://cms.ls-nyc.org/matter/dynamic-profile/view/1868339","18-1868339")</f>
        <v>0</v>
      </c>
      <c r="B1465" t="s">
        <v>12</v>
      </c>
      <c r="C1465" t="s">
        <v>49</v>
      </c>
      <c r="D1465" t="s">
        <v>1217</v>
      </c>
      <c r="E1465" t="s">
        <v>1799</v>
      </c>
      <c r="G1465" t="s">
        <v>1862</v>
      </c>
      <c r="J1465" t="s">
        <v>1867</v>
      </c>
    </row>
    <row r="1466" spans="1:10">
      <c r="A1466" s="1">
        <f>HYPERLINK("https://cms.ls-nyc.org/matter/dynamic-profile/view/1868318","18-1868318")</f>
        <v>0</v>
      </c>
      <c r="B1466" t="s">
        <v>10</v>
      </c>
      <c r="C1466" t="s">
        <v>17</v>
      </c>
      <c r="D1466" t="s">
        <v>1218</v>
      </c>
      <c r="E1466" t="s">
        <v>1807</v>
      </c>
      <c r="F1466" t="s">
        <v>1858</v>
      </c>
      <c r="G1466" t="s">
        <v>1862</v>
      </c>
      <c r="H1466" t="s">
        <v>1863</v>
      </c>
      <c r="J1466" t="s">
        <v>1868</v>
      </c>
    </row>
    <row r="1467" spans="1:10">
      <c r="A1467" s="1">
        <f>HYPERLINK("https://cms.ls-nyc.org/matter/dynamic-profile/view/1868210","18-1868210")</f>
        <v>0</v>
      </c>
      <c r="B1467" t="s">
        <v>10</v>
      </c>
      <c r="C1467" t="s">
        <v>16</v>
      </c>
      <c r="D1467" t="s">
        <v>1219</v>
      </c>
      <c r="E1467" t="s">
        <v>1815</v>
      </c>
      <c r="F1467" t="s">
        <v>1858</v>
      </c>
      <c r="G1467" t="s">
        <v>1862</v>
      </c>
      <c r="H1467" t="s">
        <v>1863</v>
      </c>
      <c r="J1467" t="s">
        <v>1868</v>
      </c>
    </row>
    <row r="1468" spans="1:10">
      <c r="A1468" s="1">
        <f>HYPERLINK("https://cms.ls-nyc.org/matter/dynamic-profile/view/1868157","18-1868157")</f>
        <v>0</v>
      </c>
      <c r="B1468" t="s">
        <v>10</v>
      </c>
      <c r="C1468" t="s">
        <v>16</v>
      </c>
      <c r="D1468" t="s">
        <v>1220</v>
      </c>
      <c r="E1468" t="s">
        <v>1815</v>
      </c>
      <c r="F1468" t="s">
        <v>1853</v>
      </c>
      <c r="G1468" t="s">
        <v>1862</v>
      </c>
      <c r="H1468" t="s">
        <v>1863</v>
      </c>
      <c r="J1468" t="s">
        <v>1867</v>
      </c>
    </row>
    <row r="1469" spans="1:10">
      <c r="A1469" s="1">
        <f>HYPERLINK("https://cms.ls-nyc.org/matter/dynamic-profile/view/1868164","18-1868164")</f>
        <v>0</v>
      </c>
      <c r="B1469" t="s">
        <v>10</v>
      </c>
      <c r="C1469" t="s">
        <v>16</v>
      </c>
      <c r="D1469" t="s">
        <v>679</v>
      </c>
      <c r="E1469" t="s">
        <v>1815</v>
      </c>
      <c r="F1469" t="s">
        <v>1853</v>
      </c>
      <c r="G1469" t="s">
        <v>1862</v>
      </c>
      <c r="H1469" t="s">
        <v>1863</v>
      </c>
      <c r="J1469" t="s">
        <v>1867</v>
      </c>
    </row>
    <row r="1470" spans="1:10">
      <c r="A1470" s="1">
        <f>HYPERLINK("https://cms.ls-nyc.org/matter/dynamic-profile/view/1868185","18-1868185")</f>
        <v>0</v>
      </c>
      <c r="B1470" t="s">
        <v>10</v>
      </c>
      <c r="C1470" t="s">
        <v>16</v>
      </c>
      <c r="D1470" t="s">
        <v>1221</v>
      </c>
      <c r="E1470" t="s">
        <v>1805</v>
      </c>
      <c r="F1470" t="s">
        <v>1853</v>
      </c>
      <c r="G1470" t="s">
        <v>1862</v>
      </c>
      <c r="J1470" t="s">
        <v>1869</v>
      </c>
    </row>
    <row r="1471" spans="1:10">
      <c r="A1471" s="1">
        <f>HYPERLINK("https://cms.ls-nyc.org/matter/dynamic-profile/view/1868232","18-1868232")</f>
        <v>0</v>
      </c>
      <c r="B1471" t="s">
        <v>10</v>
      </c>
      <c r="C1471" t="s">
        <v>16</v>
      </c>
      <c r="D1471" t="s">
        <v>1222</v>
      </c>
      <c r="E1471" t="s">
        <v>1807</v>
      </c>
      <c r="F1471" t="s">
        <v>1853</v>
      </c>
      <c r="G1471" t="s">
        <v>1862</v>
      </c>
      <c r="H1471" t="s">
        <v>1863</v>
      </c>
      <c r="J1471" t="s">
        <v>1869</v>
      </c>
    </row>
    <row r="1472" spans="1:10">
      <c r="A1472" s="1">
        <f>HYPERLINK("https://cms.ls-nyc.org/matter/dynamic-profile/view/1868266","18-1868266")</f>
        <v>0</v>
      </c>
      <c r="B1472" t="s">
        <v>15</v>
      </c>
      <c r="C1472" t="s">
        <v>56</v>
      </c>
      <c r="D1472" t="s">
        <v>1223</v>
      </c>
      <c r="E1472" t="s">
        <v>1815</v>
      </c>
      <c r="F1472" t="s">
        <v>1853</v>
      </c>
      <c r="G1472" t="s">
        <v>1862</v>
      </c>
      <c r="H1472" t="s">
        <v>1863</v>
      </c>
      <c r="J1472" t="s">
        <v>1867</v>
      </c>
    </row>
    <row r="1473" spans="1:10">
      <c r="A1473" s="1">
        <f>HYPERLINK("https://cms.ls-nyc.org/matter/dynamic-profile/view/1868118","18-1868118")</f>
        <v>0</v>
      </c>
      <c r="B1473" t="s">
        <v>11</v>
      </c>
      <c r="C1473" t="s">
        <v>32</v>
      </c>
      <c r="D1473" t="s">
        <v>1224</v>
      </c>
      <c r="E1473" t="s">
        <v>1804</v>
      </c>
      <c r="F1473" t="s">
        <v>1853</v>
      </c>
      <c r="G1473" t="s">
        <v>1862</v>
      </c>
      <c r="J1473" t="s">
        <v>1867</v>
      </c>
    </row>
    <row r="1474" spans="1:10">
      <c r="A1474" s="1">
        <f>HYPERLINK("https://cms.ls-nyc.org/matter/dynamic-profile/view/1868107","18-1868107")</f>
        <v>0</v>
      </c>
      <c r="B1474" t="s">
        <v>11</v>
      </c>
      <c r="C1474" t="s">
        <v>32</v>
      </c>
      <c r="D1474" t="s">
        <v>1225</v>
      </c>
      <c r="E1474" t="s">
        <v>1804</v>
      </c>
      <c r="F1474" t="s">
        <v>1853</v>
      </c>
      <c r="G1474" t="s">
        <v>1862</v>
      </c>
      <c r="J1474" t="s">
        <v>1867</v>
      </c>
    </row>
    <row r="1475" spans="1:10">
      <c r="A1475" s="1">
        <f>HYPERLINK("https://cms.ls-nyc.org/matter/dynamic-profile/view/1868046","18-1868046")</f>
        <v>0</v>
      </c>
      <c r="B1475" t="s">
        <v>10</v>
      </c>
      <c r="C1475" t="s">
        <v>16</v>
      </c>
      <c r="D1475" t="s">
        <v>1226</v>
      </c>
      <c r="E1475" t="s">
        <v>1815</v>
      </c>
      <c r="F1475" t="s">
        <v>1853</v>
      </c>
      <c r="G1475" t="s">
        <v>1862</v>
      </c>
      <c r="H1475" t="s">
        <v>1863</v>
      </c>
      <c r="J1475" t="s">
        <v>1869</v>
      </c>
    </row>
    <row r="1476" spans="1:10">
      <c r="A1476" s="1">
        <f>HYPERLINK("https://cms.ls-nyc.org/matter/dynamic-profile/view/1868135","18-1868135")</f>
        <v>0</v>
      </c>
      <c r="B1476" t="s">
        <v>11</v>
      </c>
      <c r="C1476" t="s">
        <v>41</v>
      </c>
      <c r="D1476" t="s">
        <v>1227</v>
      </c>
      <c r="E1476" t="s">
        <v>1815</v>
      </c>
      <c r="F1476" t="s">
        <v>1853</v>
      </c>
      <c r="G1476" t="s">
        <v>1862</v>
      </c>
      <c r="H1476" t="s">
        <v>1863</v>
      </c>
      <c r="J1476" t="s">
        <v>1867</v>
      </c>
    </row>
    <row r="1477" spans="1:10">
      <c r="A1477" s="1">
        <f>HYPERLINK("https://cms.ls-nyc.org/matter/dynamic-profile/view/1867620","18-1867620")</f>
        <v>0</v>
      </c>
      <c r="B1477" t="s">
        <v>15</v>
      </c>
      <c r="C1477" t="s">
        <v>34</v>
      </c>
      <c r="D1477" t="s">
        <v>1228</v>
      </c>
      <c r="E1477" t="s">
        <v>1827</v>
      </c>
      <c r="F1477" t="s">
        <v>1853</v>
      </c>
      <c r="G1477" t="s">
        <v>1862</v>
      </c>
      <c r="J1477" t="s">
        <v>1868</v>
      </c>
    </row>
    <row r="1478" spans="1:10">
      <c r="A1478" s="1">
        <f>HYPERLINK("https://cms.ls-nyc.org/matter/dynamic-profile/view/1867960","18-1867960")</f>
        <v>0</v>
      </c>
      <c r="B1478" t="s">
        <v>10</v>
      </c>
      <c r="C1478" t="s">
        <v>16</v>
      </c>
      <c r="D1478" t="s">
        <v>1229</v>
      </c>
      <c r="E1478" t="s">
        <v>1807</v>
      </c>
      <c r="F1478" t="s">
        <v>1858</v>
      </c>
      <c r="G1478" t="s">
        <v>1862</v>
      </c>
      <c r="H1478" t="s">
        <v>1863</v>
      </c>
      <c r="J1478" t="s">
        <v>1868</v>
      </c>
    </row>
    <row r="1479" spans="1:10">
      <c r="A1479" s="1">
        <f>HYPERLINK("https://cms.ls-nyc.org/matter/dynamic-profile/view/1867964","18-1867964")</f>
        <v>0</v>
      </c>
      <c r="B1479" t="s">
        <v>15</v>
      </c>
      <c r="C1479" t="s">
        <v>56</v>
      </c>
      <c r="D1479" t="s">
        <v>1230</v>
      </c>
      <c r="E1479" t="s">
        <v>1809</v>
      </c>
      <c r="F1479" t="s">
        <v>1855</v>
      </c>
      <c r="G1479" t="s">
        <v>1862</v>
      </c>
      <c r="H1479" t="s">
        <v>1863</v>
      </c>
      <c r="J1479" t="s">
        <v>1871</v>
      </c>
    </row>
    <row r="1480" spans="1:10">
      <c r="A1480" s="1">
        <f>HYPERLINK("https://cms.ls-nyc.org/matter/dynamic-profile/view/1867993","18-1867993")</f>
        <v>0</v>
      </c>
      <c r="B1480" t="s">
        <v>11</v>
      </c>
      <c r="C1480" t="s">
        <v>41</v>
      </c>
      <c r="D1480" t="s">
        <v>1231</v>
      </c>
      <c r="E1480" t="s">
        <v>1815</v>
      </c>
      <c r="F1480" t="s">
        <v>1853</v>
      </c>
      <c r="G1480" t="s">
        <v>1862</v>
      </c>
      <c r="H1480" t="s">
        <v>1863</v>
      </c>
      <c r="J1480" t="s">
        <v>1867</v>
      </c>
    </row>
    <row r="1481" spans="1:10">
      <c r="A1481" s="1">
        <f>HYPERLINK("https://cms.ls-nyc.org/matter/dynamic-profile/view/1867866","18-1867866")</f>
        <v>0</v>
      </c>
      <c r="B1481" t="s">
        <v>14</v>
      </c>
      <c r="C1481" t="s">
        <v>42</v>
      </c>
      <c r="D1481" t="s">
        <v>1232</v>
      </c>
      <c r="E1481" t="s">
        <v>1800</v>
      </c>
      <c r="F1481" t="s">
        <v>1859</v>
      </c>
      <c r="G1481" t="s">
        <v>1862</v>
      </c>
      <c r="H1481" t="s">
        <v>1863</v>
      </c>
      <c r="J1481" t="s">
        <v>1868</v>
      </c>
    </row>
    <row r="1482" spans="1:10">
      <c r="A1482" s="1">
        <f>HYPERLINK("https://cms.ls-nyc.org/matter/dynamic-profile/view/1867823","18-1867823")</f>
        <v>0</v>
      </c>
      <c r="B1482" t="s">
        <v>10</v>
      </c>
      <c r="C1482" t="s">
        <v>16</v>
      </c>
      <c r="D1482" t="s">
        <v>1233</v>
      </c>
      <c r="E1482" t="s">
        <v>1815</v>
      </c>
      <c r="F1482" t="s">
        <v>1858</v>
      </c>
      <c r="G1482" t="s">
        <v>1862</v>
      </c>
      <c r="H1482" t="s">
        <v>1863</v>
      </c>
      <c r="J1482" t="s">
        <v>1868</v>
      </c>
    </row>
    <row r="1483" spans="1:10">
      <c r="A1483" s="1">
        <f>HYPERLINK("https://cms.ls-nyc.org/matter/dynamic-profile/view/1867875","18-1867875")</f>
        <v>0</v>
      </c>
      <c r="B1483" t="s">
        <v>10</v>
      </c>
      <c r="C1483" t="s">
        <v>16</v>
      </c>
      <c r="D1483" t="s">
        <v>1179</v>
      </c>
      <c r="E1483" t="s">
        <v>1799</v>
      </c>
      <c r="F1483" t="s">
        <v>1853</v>
      </c>
      <c r="G1483" t="s">
        <v>1862</v>
      </c>
      <c r="H1483" t="s">
        <v>1863</v>
      </c>
      <c r="J1483" t="s">
        <v>1869</v>
      </c>
    </row>
    <row r="1484" spans="1:10">
      <c r="A1484" s="1">
        <f>HYPERLINK("https://cms.ls-nyc.org/matter/dynamic-profile/view/1867918","18-1867918")</f>
        <v>0</v>
      </c>
      <c r="B1484" t="s">
        <v>10</v>
      </c>
      <c r="C1484" t="s">
        <v>16</v>
      </c>
      <c r="D1484" t="s">
        <v>1234</v>
      </c>
      <c r="E1484" t="s">
        <v>1812</v>
      </c>
      <c r="F1484" t="s">
        <v>1853</v>
      </c>
      <c r="G1484" t="s">
        <v>1862</v>
      </c>
      <c r="H1484" t="s">
        <v>1863</v>
      </c>
      <c r="J1484" t="s">
        <v>1867</v>
      </c>
    </row>
    <row r="1485" spans="1:10">
      <c r="A1485" s="1">
        <f>HYPERLINK("https://cms.ls-nyc.org/matter/dynamic-profile/view/1867930","18-1867930")</f>
        <v>0</v>
      </c>
      <c r="B1485" t="s">
        <v>10</v>
      </c>
      <c r="C1485" t="s">
        <v>16</v>
      </c>
      <c r="D1485" t="s">
        <v>1235</v>
      </c>
      <c r="E1485" t="s">
        <v>1812</v>
      </c>
      <c r="F1485" t="s">
        <v>1853</v>
      </c>
      <c r="G1485" t="s">
        <v>1862</v>
      </c>
      <c r="H1485" t="s">
        <v>1863</v>
      </c>
      <c r="J1485" t="s">
        <v>1867</v>
      </c>
    </row>
    <row r="1486" spans="1:10">
      <c r="A1486" s="1">
        <f>HYPERLINK("https://cms.ls-nyc.org/matter/dynamic-profile/view/1865036","18-1865036")</f>
        <v>0</v>
      </c>
      <c r="B1486" t="s">
        <v>13</v>
      </c>
      <c r="C1486" t="s">
        <v>29</v>
      </c>
      <c r="D1486" t="s">
        <v>1236</v>
      </c>
      <c r="E1486" t="s">
        <v>1803</v>
      </c>
      <c r="F1486" t="s">
        <v>1855</v>
      </c>
      <c r="G1486" t="s">
        <v>1862</v>
      </c>
      <c r="H1486" t="s">
        <v>1863</v>
      </c>
      <c r="J1486" t="s">
        <v>1871</v>
      </c>
    </row>
    <row r="1487" spans="1:10">
      <c r="A1487" s="1">
        <f>HYPERLINK("https://cms.ls-nyc.org/matter/dynamic-profile/view/1867716","18-1867716")</f>
        <v>0</v>
      </c>
      <c r="B1487" t="s">
        <v>14</v>
      </c>
      <c r="C1487" t="s">
        <v>42</v>
      </c>
      <c r="D1487" t="s">
        <v>1237</v>
      </c>
      <c r="E1487" t="s">
        <v>1821</v>
      </c>
      <c r="F1487" t="s">
        <v>1853</v>
      </c>
      <c r="G1487" t="s">
        <v>1862</v>
      </c>
      <c r="H1487" t="s">
        <v>1863</v>
      </c>
      <c r="J1487" t="s">
        <v>1867</v>
      </c>
    </row>
    <row r="1488" spans="1:10">
      <c r="A1488" s="1">
        <f>HYPERLINK("https://cms.ls-nyc.org/matter/dynamic-profile/view/1867772","18-1867772")</f>
        <v>0</v>
      </c>
      <c r="B1488" t="s">
        <v>10</v>
      </c>
      <c r="C1488" t="s">
        <v>16</v>
      </c>
      <c r="D1488" t="s">
        <v>383</v>
      </c>
      <c r="E1488" t="s">
        <v>1815</v>
      </c>
      <c r="F1488" t="s">
        <v>1853</v>
      </c>
      <c r="G1488" t="s">
        <v>1862</v>
      </c>
      <c r="H1488" t="s">
        <v>1863</v>
      </c>
      <c r="J1488" t="s">
        <v>1867</v>
      </c>
    </row>
    <row r="1489" spans="1:10">
      <c r="A1489" s="1">
        <f>HYPERLINK("https://cms.ls-nyc.org/matter/dynamic-profile/view/1867601","18-1867601")</f>
        <v>0</v>
      </c>
      <c r="B1489" t="s">
        <v>14</v>
      </c>
      <c r="C1489" t="s">
        <v>42</v>
      </c>
      <c r="D1489" t="s">
        <v>1238</v>
      </c>
      <c r="E1489" t="s">
        <v>1800</v>
      </c>
      <c r="F1489" t="s">
        <v>1853</v>
      </c>
      <c r="G1489" t="s">
        <v>1862</v>
      </c>
      <c r="H1489" t="s">
        <v>1863</v>
      </c>
      <c r="J1489" t="s">
        <v>1867</v>
      </c>
    </row>
    <row r="1490" spans="1:10">
      <c r="A1490" s="1">
        <f>HYPERLINK("https://cms.ls-nyc.org/matter/dynamic-profile/view/1867678","18-1867678")</f>
        <v>0</v>
      </c>
      <c r="B1490" t="s">
        <v>10</v>
      </c>
      <c r="C1490" t="s">
        <v>16</v>
      </c>
      <c r="D1490" t="s">
        <v>1239</v>
      </c>
      <c r="E1490" t="s">
        <v>1807</v>
      </c>
      <c r="F1490" t="s">
        <v>1853</v>
      </c>
      <c r="G1490" t="s">
        <v>1862</v>
      </c>
      <c r="H1490" t="s">
        <v>1863</v>
      </c>
      <c r="J1490" t="s">
        <v>1869</v>
      </c>
    </row>
    <row r="1491" spans="1:10">
      <c r="A1491" s="1">
        <f>HYPERLINK("https://cms.ls-nyc.org/matter/dynamic-profile/view/1867546","18-1867546")</f>
        <v>0</v>
      </c>
      <c r="B1491" t="s">
        <v>15</v>
      </c>
      <c r="C1491" t="s">
        <v>47</v>
      </c>
      <c r="D1491" t="s">
        <v>1240</v>
      </c>
      <c r="E1491" t="s">
        <v>1804</v>
      </c>
      <c r="G1491" t="s">
        <v>1862</v>
      </c>
      <c r="J1491" t="s">
        <v>1867</v>
      </c>
    </row>
    <row r="1492" spans="1:10">
      <c r="A1492" s="1">
        <f>HYPERLINK("https://cms.ls-nyc.org/matter/dynamic-profile/view/1867666","18-1867666")</f>
        <v>0</v>
      </c>
      <c r="B1492" t="s">
        <v>10</v>
      </c>
      <c r="C1492" t="s">
        <v>16</v>
      </c>
      <c r="D1492" t="s">
        <v>1241</v>
      </c>
      <c r="E1492" t="s">
        <v>1815</v>
      </c>
      <c r="F1492" t="s">
        <v>1853</v>
      </c>
      <c r="G1492" t="s">
        <v>1862</v>
      </c>
      <c r="H1492" t="s">
        <v>1863</v>
      </c>
      <c r="J1492" t="s">
        <v>1869</v>
      </c>
    </row>
    <row r="1493" spans="1:10">
      <c r="A1493" s="1">
        <f>HYPERLINK("https://cms.ls-nyc.org/matter/dynamic-profile/view/1867674","18-1867674")</f>
        <v>0</v>
      </c>
      <c r="B1493" t="s">
        <v>10</v>
      </c>
      <c r="C1493" t="s">
        <v>16</v>
      </c>
      <c r="D1493" t="s">
        <v>1242</v>
      </c>
      <c r="E1493" t="s">
        <v>1815</v>
      </c>
      <c r="F1493" t="s">
        <v>1853</v>
      </c>
      <c r="G1493" t="s">
        <v>1862</v>
      </c>
      <c r="H1493" t="s">
        <v>1863</v>
      </c>
      <c r="J1493" t="s">
        <v>1867</v>
      </c>
    </row>
    <row r="1494" spans="1:10">
      <c r="A1494" s="1">
        <f>HYPERLINK("https://cms.ls-nyc.org/matter/dynamic-profile/view/1867707","18-1867707")</f>
        <v>0</v>
      </c>
      <c r="B1494" t="s">
        <v>10</v>
      </c>
      <c r="C1494" t="s">
        <v>16</v>
      </c>
      <c r="D1494" t="s">
        <v>1243</v>
      </c>
      <c r="E1494" t="s">
        <v>1816</v>
      </c>
      <c r="F1494" t="s">
        <v>1853</v>
      </c>
      <c r="G1494" t="s">
        <v>1862</v>
      </c>
      <c r="H1494" t="s">
        <v>1863</v>
      </c>
      <c r="J1494" t="s">
        <v>1867</v>
      </c>
    </row>
    <row r="1495" spans="1:10">
      <c r="A1495" s="1">
        <f>HYPERLINK("https://cms.ls-nyc.org/matter/dynamic-profile/view/1867709","18-1867709")</f>
        <v>0</v>
      </c>
      <c r="B1495" t="s">
        <v>10</v>
      </c>
      <c r="C1495" t="s">
        <v>16</v>
      </c>
      <c r="D1495" t="s">
        <v>1244</v>
      </c>
      <c r="E1495" t="s">
        <v>1816</v>
      </c>
      <c r="F1495" t="s">
        <v>1853</v>
      </c>
      <c r="G1495" t="s">
        <v>1862</v>
      </c>
      <c r="H1495" t="s">
        <v>1863</v>
      </c>
      <c r="J1495" t="s">
        <v>1867</v>
      </c>
    </row>
    <row r="1496" spans="1:10">
      <c r="A1496" s="1">
        <f>HYPERLINK("https://cms.ls-nyc.org/matter/dynamic-profile/view/1867521","18-1867521")</f>
        <v>0</v>
      </c>
      <c r="B1496" t="s">
        <v>14</v>
      </c>
      <c r="C1496" t="s">
        <v>28</v>
      </c>
      <c r="D1496" t="s">
        <v>1245</v>
      </c>
      <c r="E1496" t="s">
        <v>1823</v>
      </c>
      <c r="F1496" t="s">
        <v>1859</v>
      </c>
      <c r="G1496" t="s">
        <v>1862</v>
      </c>
      <c r="H1496" t="s">
        <v>1863</v>
      </c>
      <c r="J1496" t="s">
        <v>1868</v>
      </c>
    </row>
    <row r="1497" spans="1:10">
      <c r="A1497" s="1">
        <f>HYPERLINK("https://cms.ls-nyc.org/matter/dynamic-profile/view/1867477","18-1867477")</f>
        <v>0</v>
      </c>
      <c r="B1497" t="s">
        <v>10</v>
      </c>
      <c r="C1497" t="s">
        <v>16</v>
      </c>
      <c r="D1497" t="s">
        <v>1246</v>
      </c>
      <c r="E1497" t="s">
        <v>1806</v>
      </c>
      <c r="F1497" t="s">
        <v>1853</v>
      </c>
      <c r="G1497" t="s">
        <v>1862</v>
      </c>
      <c r="H1497" t="s">
        <v>1863</v>
      </c>
      <c r="J1497" t="s">
        <v>1869</v>
      </c>
    </row>
    <row r="1498" spans="1:10">
      <c r="A1498" s="1">
        <f>HYPERLINK("https://cms.ls-nyc.org/matter/dynamic-profile/view/1867483","18-1867483")</f>
        <v>0</v>
      </c>
      <c r="B1498" t="s">
        <v>10</v>
      </c>
      <c r="C1498" t="s">
        <v>16</v>
      </c>
      <c r="D1498" t="s">
        <v>1247</v>
      </c>
      <c r="E1498" t="s">
        <v>1806</v>
      </c>
      <c r="F1498" t="s">
        <v>1853</v>
      </c>
      <c r="G1498" t="s">
        <v>1862</v>
      </c>
      <c r="H1498" t="s">
        <v>1863</v>
      </c>
      <c r="J1498" t="s">
        <v>1869</v>
      </c>
    </row>
    <row r="1499" spans="1:10">
      <c r="A1499" s="1">
        <f>HYPERLINK("https://cms.ls-nyc.org/matter/dynamic-profile/view/1867486","18-1867486")</f>
        <v>0</v>
      </c>
      <c r="B1499" t="s">
        <v>10</v>
      </c>
      <c r="C1499" t="s">
        <v>16</v>
      </c>
      <c r="D1499" t="s">
        <v>1248</v>
      </c>
      <c r="E1499" t="s">
        <v>1806</v>
      </c>
      <c r="F1499" t="s">
        <v>1853</v>
      </c>
      <c r="G1499" t="s">
        <v>1862</v>
      </c>
      <c r="H1499" t="s">
        <v>1863</v>
      </c>
      <c r="J1499" t="s">
        <v>1869</v>
      </c>
    </row>
    <row r="1500" spans="1:10">
      <c r="A1500" s="1">
        <f>HYPERLINK("https://cms.ls-nyc.org/matter/dynamic-profile/view/1867493","18-1867493")</f>
        <v>0</v>
      </c>
      <c r="B1500" t="s">
        <v>10</v>
      </c>
      <c r="C1500" t="s">
        <v>16</v>
      </c>
      <c r="D1500" t="s">
        <v>1207</v>
      </c>
      <c r="E1500" t="s">
        <v>1805</v>
      </c>
      <c r="F1500" t="s">
        <v>1853</v>
      </c>
      <c r="G1500" t="s">
        <v>1862</v>
      </c>
      <c r="H1500" t="s">
        <v>1863</v>
      </c>
      <c r="J1500" t="s">
        <v>1869</v>
      </c>
    </row>
    <row r="1501" spans="1:10">
      <c r="A1501" s="1">
        <f>HYPERLINK("https://cms.ls-nyc.org/matter/dynamic-profile/view/1867496","18-1867496")</f>
        <v>0</v>
      </c>
      <c r="B1501" t="s">
        <v>10</v>
      </c>
      <c r="C1501" t="s">
        <v>16</v>
      </c>
      <c r="D1501" t="s">
        <v>1249</v>
      </c>
      <c r="E1501" t="s">
        <v>1805</v>
      </c>
      <c r="F1501" t="s">
        <v>1853</v>
      </c>
      <c r="G1501" t="s">
        <v>1862</v>
      </c>
      <c r="H1501" t="s">
        <v>1863</v>
      </c>
      <c r="J1501" t="s">
        <v>1869</v>
      </c>
    </row>
    <row r="1502" spans="1:10">
      <c r="A1502" s="1">
        <f>HYPERLINK("https://cms.ls-nyc.org/matter/dynamic-profile/view/1867502","18-1867502")</f>
        <v>0</v>
      </c>
      <c r="B1502" t="s">
        <v>10</v>
      </c>
      <c r="C1502" t="s">
        <v>16</v>
      </c>
      <c r="D1502" t="s">
        <v>1250</v>
      </c>
      <c r="E1502" t="s">
        <v>1812</v>
      </c>
      <c r="F1502" t="s">
        <v>1853</v>
      </c>
      <c r="G1502" t="s">
        <v>1862</v>
      </c>
      <c r="H1502" t="s">
        <v>1863</v>
      </c>
      <c r="J1502" t="s">
        <v>1867</v>
      </c>
    </row>
    <row r="1503" spans="1:10">
      <c r="A1503" s="1">
        <f>HYPERLINK("https://cms.ls-nyc.org/matter/dynamic-profile/view/1867507","18-1867507")</f>
        <v>0</v>
      </c>
      <c r="B1503" t="s">
        <v>10</v>
      </c>
      <c r="C1503" t="s">
        <v>16</v>
      </c>
      <c r="D1503" t="s">
        <v>1246</v>
      </c>
      <c r="E1503" t="s">
        <v>1812</v>
      </c>
      <c r="F1503" t="s">
        <v>1853</v>
      </c>
      <c r="G1503" t="s">
        <v>1862</v>
      </c>
      <c r="H1503" t="s">
        <v>1863</v>
      </c>
      <c r="J1503" t="s">
        <v>1867</v>
      </c>
    </row>
    <row r="1504" spans="1:10">
      <c r="A1504" s="1">
        <f>HYPERLINK("https://cms.ls-nyc.org/matter/dynamic-profile/view/1867518","18-1867518")</f>
        <v>0</v>
      </c>
      <c r="B1504" t="s">
        <v>10</v>
      </c>
      <c r="C1504" t="s">
        <v>16</v>
      </c>
      <c r="D1504" t="s">
        <v>1247</v>
      </c>
      <c r="E1504" t="s">
        <v>1812</v>
      </c>
      <c r="F1504" t="s">
        <v>1853</v>
      </c>
      <c r="G1504" t="s">
        <v>1862</v>
      </c>
      <c r="H1504" t="s">
        <v>1863</v>
      </c>
      <c r="J1504" t="s">
        <v>1867</v>
      </c>
    </row>
    <row r="1505" spans="1:10">
      <c r="A1505" s="1">
        <f>HYPERLINK("https://cms.ls-nyc.org/matter/dynamic-profile/view/1867523","18-1867523")</f>
        <v>0</v>
      </c>
      <c r="B1505" t="s">
        <v>10</v>
      </c>
      <c r="C1505" t="s">
        <v>16</v>
      </c>
      <c r="D1505" t="s">
        <v>1248</v>
      </c>
      <c r="E1505" t="s">
        <v>1812</v>
      </c>
      <c r="F1505" t="s">
        <v>1853</v>
      </c>
      <c r="G1505" t="s">
        <v>1862</v>
      </c>
      <c r="H1505" t="s">
        <v>1863</v>
      </c>
      <c r="J1505" t="s">
        <v>1867</v>
      </c>
    </row>
    <row r="1506" spans="1:10">
      <c r="A1506" s="1">
        <f>HYPERLINK("https://cms.ls-nyc.org/matter/dynamic-profile/view/1867527","18-1867527")</f>
        <v>0</v>
      </c>
      <c r="B1506" t="s">
        <v>10</v>
      </c>
      <c r="C1506" t="s">
        <v>16</v>
      </c>
      <c r="D1506" t="s">
        <v>1251</v>
      </c>
      <c r="E1506" t="s">
        <v>1815</v>
      </c>
      <c r="F1506" t="s">
        <v>1853</v>
      </c>
      <c r="G1506" t="s">
        <v>1862</v>
      </c>
      <c r="H1506" t="s">
        <v>1863</v>
      </c>
      <c r="J1506" t="s">
        <v>1869</v>
      </c>
    </row>
    <row r="1507" spans="1:10">
      <c r="A1507" s="1">
        <f>HYPERLINK("https://cms.ls-nyc.org/matter/dynamic-profile/view/1867538","18-1867538")</f>
        <v>0</v>
      </c>
      <c r="B1507" t="s">
        <v>12</v>
      </c>
      <c r="C1507" t="s">
        <v>49</v>
      </c>
      <c r="D1507" t="s">
        <v>509</v>
      </c>
      <c r="E1507" t="s">
        <v>1814</v>
      </c>
      <c r="G1507" t="s">
        <v>1862</v>
      </c>
      <c r="J1507" t="s">
        <v>1869</v>
      </c>
    </row>
    <row r="1508" spans="1:10">
      <c r="A1508" s="1">
        <f>HYPERLINK("https://cms.ls-nyc.org/matter/dynamic-profile/view/1867547","18-1867547")</f>
        <v>0</v>
      </c>
      <c r="B1508" t="s">
        <v>15</v>
      </c>
      <c r="C1508" t="s">
        <v>47</v>
      </c>
      <c r="D1508" t="s">
        <v>1240</v>
      </c>
      <c r="E1508" t="s">
        <v>1816</v>
      </c>
      <c r="G1508" t="s">
        <v>1862</v>
      </c>
      <c r="J1508" t="s">
        <v>1867</v>
      </c>
    </row>
    <row r="1509" spans="1:10">
      <c r="A1509" s="1">
        <f>HYPERLINK("https://cms.ls-nyc.org/matter/dynamic-profile/view/1867553","18-1867553")</f>
        <v>0</v>
      </c>
      <c r="B1509" t="s">
        <v>10</v>
      </c>
      <c r="C1509" t="s">
        <v>16</v>
      </c>
      <c r="D1509" t="s">
        <v>1252</v>
      </c>
      <c r="E1509" t="s">
        <v>1806</v>
      </c>
      <c r="F1509" t="s">
        <v>1853</v>
      </c>
      <c r="G1509" t="s">
        <v>1862</v>
      </c>
      <c r="J1509" t="s">
        <v>1869</v>
      </c>
    </row>
    <row r="1510" spans="1:10">
      <c r="A1510" s="1">
        <f>HYPERLINK("https://cms.ls-nyc.org/matter/dynamic-profile/view/1867562","18-1867562")</f>
        <v>0</v>
      </c>
      <c r="B1510" t="s">
        <v>10</v>
      </c>
      <c r="C1510" t="s">
        <v>16</v>
      </c>
      <c r="D1510" t="s">
        <v>1234</v>
      </c>
      <c r="E1510" t="s">
        <v>1806</v>
      </c>
      <c r="F1510" t="s">
        <v>1853</v>
      </c>
      <c r="G1510" t="s">
        <v>1862</v>
      </c>
      <c r="H1510" t="s">
        <v>1863</v>
      </c>
      <c r="J1510" t="s">
        <v>1869</v>
      </c>
    </row>
    <row r="1511" spans="1:10">
      <c r="A1511" s="1">
        <f>HYPERLINK("https://cms.ls-nyc.org/matter/dynamic-profile/view/1867568","18-1867568")</f>
        <v>0</v>
      </c>
      <c r="B1511" t="s">
        <v>10</v>
      </c>
      <c r="C1511" t="s">
        <v>16</v>
      </c>
      <c r="D1511" t="s">
        <v>1235</v>
      </c>
      <c r="E1511" t="s">
        <v>1806</v>
      </c>
      <c r="F1511" t="s">
        <v>1853</v>
      </c>
      <c r="G1511" t="s">
        <v>1862</v>
      </c>
      <c r="H1511" t="s">
        <v>1863</v>
      </c>
      <c r="J1511" t="s">
        <v>1869</v>
      </c>
    </row>
    <row r="1512" spans="1:10">
      <c r="A1512" s="1">
        <f>HYPERLINK("https://cms.ls-nyc.org/matter/dynamic-profile/view/1867428","18-1867428")</f>
        <v>0</v>
      </c>
      <c r="B1512" t="s">
        <v>14</v>
      </c>
      <c r="C1512" t="s">
        <v>31</v>
      </c>
      <c r="D1512" t="s">
        <v>1253</v>
      </c>
      <c r="E1512" t="s">
        <v>1814</v>
      </c>
      <c r="F1512" t="s">
        <v>1858</v>
      </c>
      <c r="G1512" t="s">
        <v>1862</v>
      </c>
      <c r="H1512" t="s">
        <v>1863</v>
      </c>
      <c r="J1512" t="s">
        <v>1868</v>
      </c>
    </row>
    <row r="1513" spans="1:10">
      <c r="A1513" s="1">
        <f>HYPERLINK("https://cms.ls-nyc.org/matter/dynamic-profile/view/1867465","18-1867465")</f>
        <v>0</v>
      </c>
      <c r="B1513" t="s">
        <v>15</v>
      </c>
      <c r="C1513" t="s">
        <v>59</v>
      </c>
      <c r="D1513" t="s">
        <v>1254</v>
      </c>
      <c r="E1513" t="s">
        <v>1816</v>
      </c>
      <c r="F1513" t="s">
        <v>1858</v>
      </c>
      <c r="G1513" t="s">
        <v>1862</v>
      </c>
      <c r="J1513" t="s">
        <v>1868</v>
      </c>
    </row>
    <row r="1514" spans="1:10">
      <c r="A1514" s="1">
        <f>HYPERLINK("https://cms.ls-nyc.org/matter/dynamic-profile/view/1867119","18-1867119")</f>
        <v>0</v>
      </c>
      <c r="B1514" t="s">
        <v>13</v>
      </c>
      <c r="C1514" t="s">
        <v>43</v>
      </c>
      <c r="D1514" t="s">
        <v>1255</v>
      </c>
      <c r="E1514" t="s">
        <v>1802</v>
      </c>
      <c r="F1514" t="s">
        <v>1853</v>
      </c>
      <c r="G1514" t="s">
        <v>1862</v>
      </c>
      <c r="J1514" t="s">
        <v>1869</v>
      </c>
    </row>
    <row r="1515" spans="1:10">
      <c r="A1515" s="1">
        <f>HYPERLINK("https://cms.ls-nyc.org/matter/dynamic-profile/view/1867135","18-1867135")</f>
        <v>0</v>
      </c>
      <c r="B1515" t="s">
        <v>13</v>
      </c>
      <c r="C1515" t="s">
        <v>43</v>
      </c>
      <c r="D1515" t="s">
        <v>1256</v>
      </c>
      <c r="E1515" t="s">
        <v>1802</v>
      </c>
      <c r="F1515" t="s">
        <v>1853</v>
      </c>
      <c r="G1515" t="s">
        <v>1862</v>
      </c>
      <c r="J1515" t="s">
        <v>1869</v>
      </c>
    </row>
    <row r="1516" spans="1:10">
      <c r="A1516" s="1">
        <f>HYPERLINK("https://cms.ls-nyc.org/matter/dynamic-profile/view/1867139","18-1867139")</f>
        <v>0</v>
      </c>
      <c r="B1516" t="s">
        <v>13</v>
      </c>
      <c r="C1516" t="s">
        <v>43</v>
      </c>
      <c r="D1516" t="s">
        <v>1257</v>
      </c>
      <c r="E1516" t="s">
        <v>1802</v>
      </c>
      <c r="F1516" t="s">
        <v>1853</v>
      </c>
      <c r="G1516" t="s">
        <v>1862</v>
      </c>
      <c r="J1516" t="s">
        <v>1869</v>
      </c>
    </row>
    <row r="1517" spans="1:10">
      <c r="A1517" s="1">
        <f>HYPERLINK("https://cms.ls-nyc.org/matter/dynamic-profile/view/1867360","18-1867360")</f>
        <v>0</v>
      </c>
      <c r="B1517" t="s">
        <v>10</v>
      </c>
      <c r="C1517" t="s">
        <v>16</v>
      </c>
      <c r="D1517" t="s">
        <v>1258</v>
      </c>
      <c r="E1517" t="s">
        <v>1815</v>
      </c>
      <c r="F1517" t="s">
        <v>1853</v>
      </c>
      <c r="G1517" t="s">
        <v>1862</v>
      </c>
      <c r="H1517" t="s">
        <v>1863</v>
      </c>
      <c r="J1517" t="s">
        <v>1869</v>
      </c>
    </row>
    <row r="1518" spans="1:10">
      <c r="A1518" s="1">
        <f>HYPERLINK("https://cms.ls-nyc.org/matter/dynamic-profile/view/1867373","18-1867373")</f>
        <v>0</v>
      </c>
      <c r="B1518" t="s">
        <v>10</v>
      </c>
      <c r="C1518" t="s">
        <v>16</v>
      </c>
      <c r="D1518" t="s">
        <v>184</v>
      </c>
      <c r="E1518" t="s">
        <v>1810</v>
      </c>
      <c r="F1518" t="s">
        <v>1853</v>
      </c>
      <c r="G1518" t="s">
        <v>1862</v>
      </c>
      <c r="H1518" t="s">
        <v>1863</v>
      </c>
      <c r="J1518" t="s">
        <v>1869</v>
      </c>
    </row>
    <row r="1519" spans="1:10">
      <c r="A1519" s="1">
        <f>HYPERLINK("https://cms.ls-nyc.org/matter/dynamic-profile/view/1867405","18-1867405")</f>
        <v>0</v>
      </c>
      <c r="B1519" t="s">
        <v>11</v>
      </c>
      <c r="C1519" t="s">
        <v>41</v>
      </c>
      <c r="D1519" t="s">
        <v>1259</v>
      </c>
      <c r="E1519" t="s">
        <v>1838</v>
      </c>
      <c r="F1519" t="s">
        <v>1853</v>
      </c>
      <c r="G1519" t="s">
        <v>1862</v>
      </c>
      <c r="H1519" t="s">
        <v>1863</v>
      </c>
      <c r="J1519" t="s">
        <v>1867</v>
      </c>
    </row>
    <row r="1520" spans="1:10">
      <c r="A1520" s="1">
        <f>HYPERLINK("https://cms.ls-nyc.org/matter/dynamic-profile/view/1867446","18-1867446")</f>
        <v>0</v>
      </c>
      <c r="B1520" t="s">
        <v>10</v>
      </c>
      <c r="C1520" t="s">
        <v>16</v>
      </c>
      <c r="D1520" t="s">
        <v>1260</v>
      </c>
      <c r="E1520" t="s">
        <v>1805</v>
      </c>
      <c r="F1520" t="s">
        <v>1853</v>
      </c>
      <c r="G1520" t="s">
        <v>1862</v>
      </c>
      <c r="H1520" t="s">
        <v>1863</v>
      </c>
      <c r="J1520" t="s">
        <v>1869</v>
      </c>
    </row>
    <row r="1521" spans="1:10">
      <c r="A1521" s="1">
        <f>HYPERLINK("https://cms.ls-nyc.org/matter/dynamic-profile/view/1867450","18-1867450")</f>
        <v>0</v>
      </c>
      <c r="B1521" t="s">
        <v>15</v>
      </c>
      <c r="C1521" t="s">
        <v>61</v>
      </c>
      <c r="D1521" t="s">
        <v>1261</v>
      </c>
      <c r="E1521" t="s">
        <v>1800</v>
      </c>
      <c r="F1521" t="s">
        <v>1854</v>
      </c>
      <c r="G1521" t="s">
        <v>1862</v>
      </c>
      <c r="H1521" t="s">
        <v>1863</v>
      </c>
      <c r="J1521" t="s">
        <v>1868</v>
      </c>
    </row>
    <row r="1522" spans="1:10">
      <c r="A1522" s="1">
        <f>HYPERLINK("https://cms.ls-nyc.org/matter/dynamic-profile/view/1867455","18-1867455")</f>
        <v>0</v>
      </c>
      <c r="B1522" t="s">
        <v>10</v>
      </c>
      <c r="C1522" t="s">
        <v>16</v>
      </c>
      <c r="D1522" t="s">
        <v>1250</v>
      </c>
      <c r="E1522" t="s">
        <v>1806</v>
      </c>
      <c r="F1522" t="s">
        <v>1853</v>
      </c>
      <c r="G1522" t="s">
        <v>1862</v>
      </c>
      <c r="H1522" t="s">
        <v>1863</v>
      </c>
      <c r="J1522" t="s">
        <v>1869</v>
      </c>
    </row>
    <row r="1523" spans="1:10">
      <c r="A1523" s="1">
        <f>HYPERLINK("https://cms.ls-nyc.org/matter/dynamic-profile/view/1867240","18-1867240")</f>
        <v>0</v>
      </c>
      <c r="B1523" t="s">
        <v>10</v>
      </c>
      <c r="C1523" t="s">
        <v>16</v>
      </c>
      <c r="D1523" t="s">
        <v>1262</v>
      </c>
      <c r="E1523" t="s">
        <v>1815</v>
      </c>
      <c r="F1523" t="s">
        <v>1858</v>
      </c>
      <c r="G1523" t="s">
        <v>1862</v>
      </c>
      <c r="H1523" t="s">
        <v>1863</v>
      </c>
      <c r="J1523" t="s">
        <v>1868</v>
      </c>
    </row>
    <row r="1524" spans="1:10">
      <c r="A1524" s="1">
        <f>HYPERLINK("https://cms.ls-nyc.org/matter/dynamic-profile/view/1867342","18-1867342")</f>
        <v>0</v>
      </c>
      <c r="B1524" t="s">
        <v>11</v>
      </c>
      <c r="C1524" t="s">
        <v>32</v>
      </c>
      <c r="D1524" t="s">
        <v>1263</v>
      </c>
      <c r="E1524" t="s">
        <v>1819</v>
      </c>
      <c r="F1524" t="s">
        <v>1858</v>
      </c>
      <c r="G1524" t="s">
        <v>1862</v>
      </c>
      <c r="H1524" t="s">
        <v>1863</v>
      </c>
      <c r="J1524" t="s">
        <v>1868</v>
      </c>
    </row>
    <row r="1525" spans="1:10">
      <c r="A1525" s="1">
        <f>HYPERLINK("https://cms.ls-nyc.org/matter/dynamic-profile/view/1867279","18-1867279")</f>
        <v>0</v>
      </c>
      <c r="B1525" t="s">
        <v>15</v>
      </c>
      <c r="C1525" t="s">
        <v>47</v>
      </c>
      <c r="D1525" t="s">
        <v>332</v>
      </c>
      <c r="E1525" t="s">
        <v>1803</v>
      </c>
      <c r="F1525" t="s">
        <v>1855</v>
      </c>
      <c r="G1525" t="s">
        <v>1862</v>
      </c>
      <c r="H1525" t="s">
        <v>1863</v>
      </c>
      <c r="J1525" t="s">
        <v>1871</v>
      </c>
    </row>
    <row r="1526" spans="1:10">
      <c r="A1526" s="1">
        <f>HYPERLINK("https://cms.ls-nyc.org/matter/dynamic-profile/view/1867181","18-1867181")</f>
        <v>0</v>
      </c>
      <c r="B1526" t="s">
        <v>12</v>
      </c>
      <c r="C1526" t="s">
        <v>49</v>
      </c>
      <c r="D1526" t="s">
        <v>1264</v>
      </c>
      <c r="E1526" t="s">
        <v>1816</v>
      </c>
      <c r="G1526" t="s">
        <v>1862</v>
      </c>
      <c r="J1526" t="s">
        <v>1868</v>
      </c>
    </row>
    <row r="1527" spans="1:10">
      <c r="A1527" s="1">
        <f>HYPERLINK("https://cms.ls-nyc.org/matter/dynamic-profile/view/1867096","18-1867096")</f>
        <v>0</v>
      </c>
      <c r="B1527" t="s">
        <v>11</v>
      </c>
      <c r="C1527" t="s">
        <v>41</v>
      </c>
      <c r="D1527" t="s">
        <v>1265</v>
      </c>
      <c r="E1527" t="s">
        <v>1825</v>
      </c>
      <c r="F1527" t="s">
        <v>1853</v>
      </c>
      <c r="G1527" t="s">
        <v>1862</v>
      </c>
      <c r="H1527" t="s">
        <v>1863</v>
      </c>
      <c r="J1527" t="s">
        <v>1867</v>
      </c>
    </row>
    <row r="1528" spans="1:10">
      <c r="A1528" s="1">
        <f>HYPERLINK("https://cms.ls-nyc.org/matter/dynamic-profile/view/1867104","18-1867104")</f>
        <v>0</v>
      </c>
      <c r="B1528" t="s">
        <v>11</v>
      </c>
      <c r="C1528" t="s">
        <v>41</v>
      </c>
      <c r="D1528" t="s">
        <v>1266</v>
      </c>
      <c r="E1528" t="s">
        <v>1800</v>
      </c>
      <c r="F1528" t="s">
        <v>1853</v>
      </c>
      <c r="G1528" t="s">
        <v>1862</v>
      </c>
      <c r="H1528" t="s">
        <v>1863</v>
      </c>
      <c r="J1528" t="s">
        <v>1867</v>
      </c>
    </row>
    <row r="1529" spans="1:10">
      <c r="A1529" s="1">
        <f>HYPERLINK("https://cms.ls-nyc.org/matter/dynamic-profile/view/1867108","18-1867108")</f>
        <v>0</v>
      </c>
      <c r="B1529" t="s">
        <v>13</v>
      </c>
      <c r="C1529" t="s">
        <v>43</v>
      </c>
      <c r="D1529" t="s">
        <v>1267</v>
      </c>
      <c r="E1529" t="s">
        <v>1802</v>
      </c>
      <c r="F1529" t="s">
        <v>1853</v>
      </c>
      <c r="G1529" t="s">
        <v>1862</v>
      </c>
      <c r="H1529" t="s">
        <v>1863</v>
      </c>
      <c r="J1529" t="s">
        <v>1869</v>
      </c>
    </row>
    <row r="1530" spans="1:10">
      <c r="A1530" s="1">
        <f>HYPERLINK("https://cms.ls-nyc.org/matter/dynamic-profile/view/1867133","18-1867133")</f>
        <v>0</v>
      </c>
      <c r="B1530" t="s">
        <v>11</v>
      </c>
      <c r="C1530" t="s">
        <v>41</v>
      </c>
      <c r="D1530" t="s">
        <v>1268</v>
      </c>
      <c r="E1530" t="s">
        <v>1800</v>
      </c>
      <c r="F1530" t="s">
        <v>1853</v>
      </c>
      <c r="G1530" t="s">
        <v>1862</v>
      </c>
      <c r="H1530" t="s">
        <v>1863</v>
      </c>
      <c r="J1530" t="s">
        <v>1867</v>
      </c>
    </row>
    <row r="1531" spans="1:10">
      <c r="A1531" s="1">
        <f>HYPERLINK("https://cms.ls-nyc.org/matter/dynamic-profile/view/1867206","18-1867206")</f>
        <v>0</v>
      </c>
      <c r="B1531" t="s">
        <v>15</v>
      </c>
      <c r="C1531" t="s">
        <v>27</v>
      </c>
      <c r="D1531" t="s">
        <v>106</v>
      </c>
      <c r="E1531" t="s">
        <v>1803</v>
      </c>
      <c r="F1531" t="s">
        <v>1855</v>
      </c>
      <c r="G1531" t="s">
        <v>1862</v>
      </c>
      <c r="H1531" t="s">
        <v>1864</v>
      </c>
      <c r="J1531" t="s">
        <v>1871</v>
      </c>
    </row>
    <row r="1532" spans="1:10">
      <c r="A1532" s="1">
        <f>HYPERLINK("https://cms.ls-nyc.org/matter/dynamic-profile/view/1867087","18-1867087")</f>
        <v>0</v>
      </c>
      <c r="B1532" t="s">
        <v>15</v>
      </c>
      <c r="C1532" t="s">
        <v>27</v>
      </c>
      <c r="D1532" t="s">
        <v>1269</v>
      </c>
      <c r="E1532" t="s">
        <v>1809</v>
      </c>
      <c r="F1532" t="s">
        <v>1858</v>
      </c>
      <c r="G1532" t="s">
        <v>1862</v>
      </c>
      <c r="H1532" t="s">
        <v>1864</v>
      </c>
      <c r="J1532" t="s">
        <v>1868</v>
      </c>
    </row>
    <row r="1533" spans="1:10">
      <c r="A1533" s="1">
        <f>HYPERLINK("https://cms.ls-nyc.org/matter/dynamic-profile/view/1867028","18-1867028")</f>
        <v>0</v>
      </c>
      <c r="B1533" t="s">
        <v>11</v>
      </c>
      <c r="C1533" t="s">
        <v>18</v>
      </c>
      <c r="D1533" t="s">
        <v>1270</v>
      </c>
      <c r="E1533" t="s">
        <v>1815</v>
      </c>
      <c r="F1533" t="s">
        <v>1853</v>
      </c>
      <c r="G1533" t="s">
        <v>1862</v>
      </c>
      <c r="H1533" t="s">
        <v>1863</v>
      </c>
      <c r="J1533" t="s">
        <v>1867</v>
      </c>
    </row>
    <row r="1534" spans="1:10">
      <c r="A1534" s="1">
        <f>HYPERLINK("https://cms.ls-nyc.org/matter/dynamic-profile/view/1867050","18-1867050")</f>
        <v>0</v>
      </c>
      <c r="B1534" t="s">
        <v>12</v>
      </c>
      <c r="C1534" t="s">
        <v>40</v>
      </c>
      <c r="D1534" t="s">
        <v>324</v>
      </c>
      <c r="E1534" t="s">
        <v>1800</v>
      </c>
      <c r="F1534" t="s">
        <v>1853</v>
      </c>
      <c r="G1534" t="s">
        <v>1862</v>
      </c>
      <c r="J1534" t="s">
        <v>1867</v>
      </c>
    </row>
    <row r="1535" spans="1:10">
      <c r="A1535" s="1">
        <f>HYPERLINK("https://cms.ls-nyc.org/matter/dynamic-profile/view/1866846","18-1866846")</f>
        <v>0</v>
      </c>
      <c r="B1535" t="s">
        <v>10</v>
      </c>
      <c r="C1535" t="s">
        <v>16</v>
      </c>
      <c r="D1535" t="s">
        <v>1271</v>
      </c>
      <c r="E1535" t="s">
        <v>1807</v>
      </c>
      <c r="F1535" t="s">
        <v>1853</v>
      </c>
      <c r="G1535" t="s">
        <v>1862</v>
      </c>
      <c r="H1535" t="s">
        <v>1863</v>
      </c>
      <c r="J1535" t="s">
        <v>1869</v>
      </c>
    </row>
    <row r="1536" spans="1:10">
      <c r="A1536" s="1">
        <f>HYPERLINK("https://cms.ls-nyc.org/matter/dynamic-profile/view/1866871","18-1866871")</f>
        <v>0</v>
      </c>
      <c r="B1536" t="s">
        <v>10</v>
      </c>
      <c r="C1536" t="s">
        <v>16</v>
      </c>
      <c r="D1536" t="s">
        <v>1272</v>
      </c>
      <c r="E1536" t="s">
        <v>1816</v>
      </c>
      <c r="F1536" t="s">
        <v>1853</v>
      </c>
      <c r="G1536" t="s">
        <v>1862</v>
      </c>
      <c r="H1536" t="s">
        <v>1863</v>
      </c>
      <c r="J1536" t="s">
        <v>1867</v>
      </c>
    </row>
    <row r="1537" spans="1:10">
      <c r="A1537" s="1">
        <f>HYPERLINK("https://cms.ls-nyc.org/matter/dynamic-profile/view/1866879","18-1866879")</f>
        <v>0</v>
      </c>
      <c r="B1537" t="s">
        <v>10</v>
      </c>
      <c r="C1537" t="s">
        <v>16</v>
      </c>
      <c r="D1537" t="s">
        <v>712</v>
      </c>
      <c r="E1537" t="s">
        <v>1816</v>
      </c>
      <c r="F1537" t="s">
        <v>1853</v>
      </c>
      <c r="G1537" t="s">
        <v>1862</v>
      </c>
      <c r="H1537" t="s">
        <v>1863</v>
      </c>
      <c r="J1537" t="s">
        <v>1867</v>
      </c>
    </row>
    <row r="1538" spans="1:10">
      <c r="A1538" s="1">
        <f>HYPERLINK("https://cms.ls-nyc.org/matter/dynamic-profile/view/1866886","18-1866886")</f>
        <v>0</v>
      </c>
      <c r="B1538" t="s">
        <v>10</v>
      </c>
      <c r="C1538" t="s">
        <v>16</v>
      </c>
      <c r="D1538" t="s">
        <v>1273</v>
      </c>
      <c r="E1538" t="s">
        <v>1799</v>
      </c>
      <c r="F1538" t="s">
        <v>1853</v>
      </c>
      <c r="G1538" t="s">
        <v>1862</v>
      </c>
      <c r="H1538" t="s">
        <v>1863</v>
      </c>
      <c r="J1538" t="s">
        <v>1867</v>
      </c>
    </row>
    <row r="1539" spans="1:10">
      <c r="A1539" s="1">
        <f>HYPERLINK("https://cms.ls-nyc.org/matter/dynamic-profile/view/1866910","18-1866910")</f>
        <v>0</v>
      </c>
      <c r="B1539" t="s">
        <v>10</v>
      </c>
      <c r="C1539" t="s">
        <v>16</v>
      </c>
      <c r="D1539" t="s">
        <v>1274</v>
      </c>
      <c r="E1539" t="s">
        <v>1816</v>
      </c>
      <c r="F1539" t="s">
        <v>1853</v>
      </c>
      <c r="G1539" t="s">
        <v>1862</v>
      </c>
      <c r="H1539" t="s">
        <v>1863</v>
      </c>
      <c r="J1539" t="s">
        <v>1867</v>
      </c>
    </row>
    <row r="1540" spans="1:10">
      <c r="A1540" s="1">
        <f>HYPERLINK("https://cms.ls-nyc.org/matter/dynamic-profile/view/1866914","18-1866914")</f>
        <v>0</v>
      </c>
      <c r="B1540" t="s">
        <v>10</v>
      </c>
      <c r="C1540" t="s">
        <v>16</v>
      </c>
      <c r="D1540" t="s">
        <v>1275</v>
      </c>
      <c r="E1540" t="s">
        <v>1799</v>
      </c>
      <c r="F1540" t="s">
        <v>1853</v>
      </c>
      <c r="G1540" t="s">
        <v>1862</v>
      </c>
      <c r="H1540" t="s">
        <v>1863</v>
      </c>
      <c r="J1540" t="s">
        <v>1867</v>
      </c>
    </row>
    <row r="1541" spans="1:10">
      <c r="A1541" s="1">
        <f>HYPERLINK("https://cms.ls-nyc.org/matter/dynamic-profile/view/1866926","18-1866926")</f>
        <v>0</v>
      </c>
      <c r="B1541" t="s">
        <v>10</v>
      </c>
      <c r="C1541" t="s">
        <v>16</v>
      </c>
      <c r="D1541" t="s">
        <v>1276</v>
      </c>
      <c r="E1541" t="s">
        <v>1799</v>
      </c>
      <c r="F1541" t="s">
        <v>1853</v>
      </c>
      <c r="G1541" t="s">
        <v>1862</v>
      </c>
      <c r="H1541" t="s">
        <v>1863</v>
      </c>
      <c r="J1541" t="s">
        <v>1867</v>
      </c>
    </row>
    <row r="1542" spans="1:10">
      <c r="A1542" s="1">
        <f>HYPERLINK("https://cms.ls-nyc.org/matter/dynamic-profile/view/1866930","18-1866930")</f>
        <v>0</v>
      </c>
      <c r="B1542" t="s">
        <v>10</v>
      </c>
      <c r="C1542" t="s">
        <v>16</v>
      </c>
      <c r="D1542" t="s">
        <v>1277</v>
      </c>
      <c r="E1542" t="s">
        <v>1816</v>
      </c>
      <c r="F1542" t="s">
        <v>1853</v>
      </c>
      <c r="G1542" t="s">
        <v>1862</v>
      </c>
      <c r="H1542" t="s">
        <v>1863</v>
      </c>
      <c r="J1542" t="s">
        <v>1869</v>
      </c>
    </row>
    <row r="1543" spans="1:10">
      <c r="A1543" s="1">
        <f>HYPERLINK("https://cms.ls-nyc.org/matter/dynamic-profile/view/1866937","18-1866937")</f>
        <v>0</v>
      </c>
      <c r="B1543" t="s">
        <v>11</v>
      </c>
      <c r="C1543" t="s">
        <v>32</v>
      </c>
      <c r="D1543" t="s">
        <v>1278</v>
      </c>
      <c r="E1543" t="s">
        <v>1804</v>
      </c>
      <c r="F1543" t="s">
        <v>1853</v>
      </c>
      <c r="G1543" t="s">
        <v>1862</v>
      </c>
      <c r="H1543" t="s">
        <v>1863</v>
      </c>
      <c r="J1543" t="s">
        <v>1867</v>
      </c>
    </row>
    <row r="1544" spans="1:10">
      <c r="A1544" s="1">
        <f>HYPERLINK("https://cms.ls-nyc.org/matter/dynamic-profile/view/1866749","18-1866749")</f>
        <v>0</v>
      </c>
      <c r="B1544" t="s">
        <v>10</v>
      </c>
      <c r="C1544" t="s">
        <v>16</v>
      </c>
      <c r="D1544" t="s">
        <v>1279</v>
      </c>
      <c r="E1544" t="s">
        <v>1815</v>
      </c>
      <c r="F1544" t="s">
        <v>1853</v>
      </c>
      <c r="G1544" t="s">
        <v>1862</v>
      </c>
      <c r="J1544" t="s">
        <v>1868</v>
      </c>
    </row>
    <row r="1545" spans="1:10">
      <c r="A1545" s="1">
        <f>HYPERLINK("https://cms.ls-nyc.org/matter/dynamic-profile/view/1866662","18-1866662")</f>
        <v>0</v>
      </c>
      <c r="B1545" t="s">
        <v>14</v>
      </c>
      <c r="C1545" t="s">
        <v>28</v>
      </c>
      <c r="D1545" t="s">
        <v>1280</v>
      </c>
      <c r="E1545" t="s">
        <v>1800</v>
      </c>
      <c r="F1545" t="s">
        <v>1859</v>
      </c>
      <c r="G1545" t="s">
        <v>1862</v>
      </c>
      <c r="H1545" t="s">
        <v>1863</v>
      </c>
      <c r="J1545" t="s">
        <v>1868</v>
      </c>
    </row>
    <row r="1546" spans="1:10">
      <c r="A1546" s="1">
        <f>HYPERLINK("https://cms.ls-nyc.org/matter/dynamic-profile/view/1866738","18-1866738")</f>
        <v>0</v>
      </c>
      <c r="B1546" t="s">
        <v>14</v>
      </c>
      <c r="C1546" t="s">
        <v>42</v>
      </c>
      <c r="D1546" t="s">
        <v>628</v>
      </c>
      <c r="E1546" t="s">
        <v>1804</v>
      </c>
      <c r="F1546" t="s">
        <v>1855</v>
      </c>
      <c r="G1546" t="s">
        <v>1862</v>
      </c>
      <c r="H1546" t="s">
        <v>1863</v>
      </c>
      <c r="J1546" t="s">
        <v>1867</v>
      </c>
    </row>
    <row r="1547" spans="1:10">
      <c r="A1547" s="1">
        <f>HYPERLINK("https://cms.ls-nyc.org/matter/dynamic-profile/view/1866641","18-1866641")</f>
        <v>0</v>
      </c>
      <c r="B1547" t="s">
        <v>12</v>
      </c>
      <c r="C1547" t="s">
        <v>40</v>
      </c>
      <c r="D1547" t="s">
        <v>1281</v>
      </c>
      <c r="E1547" t="s">
        <v>1821</v>
      </c>
      <c r="G1547" t="s">
        <v>1862</v>
      </c>
      <c r="J1547" t="s">
        <v>1868</v>
      </c>
    </row>
    <row r="1548" spans="1:10">
      <c r="A1548" s="1">
        <f>HYPERLINK("https://cms.ls-nyc.org/matter/dynamic-profile/view/1866637","18-1866637")</f>
        <v>0</v>
      </c>
      <c r="B1548" t="s">
        <v>11</v>
      </c>
      <c r="C1548" t="s">
        <v>41</v>
      </c>
      <c r="D1548" t="s">
        <v>1282</v>
      </c>
      <c r="E1548" t="s">
        <v>1800</v>
      </c>
      <c r="F1548" t="s">
        <v>1853</v>
      </c>
      <c r="G1548" t="s">
        <v>1862</v>
      </c>
      <c r="H1548" t="s">
        <v>1863</v>
      </c>
      <c r="J1548" t="s">
        <v>1867</v>
      </c>
    </row>
    <row r="1549" spans="1:10">
      <c r="A1549" s="1">
        <f>HYPERLINK("https://cms.ls-nyc.org/matter/dynamic-profile/view/1866638","18-1866638")</f>
        <v>0</v>
      </c>
      <c r="B1549" t="s">
        <v>10</v>
      </c>
      <c r="C1549" t="s">
        <v>16</v>
      </c>
      <c r="D1549" t="s">
        <v>1283</v>
      </c>
      <c r="E1549" t="s">
        <v>1799</v>
      </c>
      <c r="F1549" t="s">
        <v>1853</v>
      </c>
      <c r="G1549" t="s">
        <v>1862</v>
      </c>
      <c r="H1549" t="s">
        <v>1863</v>
      </c>
      <c r="J1549" t="s">
        <v>1869</v>
      </c>
    </row>
    <row r="1550" spans="1:10">
      <c r="A1550" s="1">
        <f>HYPERLINK("https://cms.ls-nyc.org/matter/dynamic-profile/view/1866643","18-1866643")</f>
        <v>0</v>
      </c>
      <c r="B1550" t="s">
        <v>10</v>
      </c>
      <c r="C1550" t="s">
        <v>16</v>
      </c>
      <c r="D1550" t="s">
        <v>1284</v>
      </c>
      <c r="E1550" t="s">
        <v>1799</v>
      </c>
      <c r="F1550" t="s">
        <v>1853</v>
      </c>
      <c r="G1550" t="s">
        <v>1862</v>
      </c>
      <c r="H1550" t="s">
        <v>1863</v>
      </c>
      <c r="J1550" t="s">
        <v>1867</v>
      </c>
    </row>
    <row r="1551" spans="1:10">
      <c r="A1551" s="1">
        <f>HYPERLINK("https://cms.ls-nyc.org/matter/dynamic-profile/view/1866673","18-1866673")</f>
        <v>0</v>
      </c>
      <c r="B1551" t="s">
        <v>10</v>
      </c>
      <c r="C1551" t="s">
        <v>16</v>
      </c>
      <c r="D1551" t="s">
        <v>1285</v>
      </c>
      <c r="E1551" t="s">
        <v>1799</v>
      </c>
      <c r="F1551" t="s">
        <v>1853</v>
      </c>
      <c r="G1551" t="s">
        <v>1862</v>
      </c>
      <c r="H1551" t="s">
        <v>1863</v>
      </c>
      <c r="J1551" t="s">
        <v>1867</v>
      </c>
    </row>
    <row r="1552" spans="1:10">
      <c r="A1552" s="1">
        <f>HYPERLINK("https://cms.ls-nyc.org/matter/dynamic-profile/view/1866682","18-1866682")</f>
        <v>0</v>
      </c>
      <c r="B1552" t="s">
        <v>10</v>
      </c>
      <c r="C1552" t="s">
        <v>16</v>
      </c>
      <c r="D1552" t="s">
        <v>1286</v>
      </c>
      <c r="E1552" t="s">
        <v>1799</v>
      </c>
      <c r="F1552" t="s">
        <v>1853</v>
      </c>
      <c r="G1552" t="s">
        <v>1862</v>
      </c>
      <c r="H1552" t="s">
        <v>1863</v>
      </c>
      <c r="J1552" t="s">
        <v>1867</v>
      </c>
    </row>
    <row r="1553" spans="1:10">
      <c r="A1553" s="1">
        <f>HYPERLINK("https://cms.ls-nyc.org/matter/dynamic-profile/view/1866690","18-1866690")</f>
        <v>0</v>
      </c>
      <c r="B1553" t="s">
        <v>10</v>
      </c>
      <c r="C1553" t="s">
        <v>16</v>
      </c>
      <c r="D1553" t="s">
        <v>1287</v>
      </c>
      <c r="E1553" t="s">
        <v>1799</v>
      </c>
      <c r="F1553" t="s">
        <v>1853</v>
      </c>
      <c r="G1553" t="s">
        <v>1862</v>
      </c>
      <c r="H1553" t="s">
        <v>1863</v>
      </c>
      <c r="J1553" t="s">
        <v>1867</v>
      </c>
    </row>
    <row r="1554" spans="1:10">
      <c r="A1554" s="1">
        <f>HYPERLINK("https://cms.ls-nyc.org/matter/dynamic-profile/view/1866721","18-1866721")</f>
        <v>0</v>
      </c>
      <c r="B1554" t="s">
        <v>11</v>
      </c>
      <c r="C1554" t="s">
        <v>41</v>
      </c>
      <c r="D1554" t="s">
        <v>1288</v>
      </c>
      <c r="E1554" t="s">
        <v>1815</v>
      </c>
      <c r="F1554" t="s">
        <v>1853</v>
      </c>
      <c r="G1554" t="s">
        <v>1862</v>
      </c>
      <c r="H1554" t="s">
        <v>1863</v>
      </c>
      <c r="J1554" t="s">
        <v>1867</v>
      </c>
    </row>
    <row r="1555" spans="1:10">
      <c r="A1555" s="1">
        <f>HYPERLINK("https://cms.ls-nyc.org/matter/dynamic-profile/view/1866781","18-1866781")</f>
        <v>0</v>
      </c>
      <c r="B1555" t="s">
        <v>10</v>
      </c>
      <c r="C1555" t="s">
        <v>16</v>
      </c>
      <c r="D1555" t="s">
        <v>1289</v>
      </c>
      <c r="E1555" t="s">
        <v>1815</v>
      </c>
      <c r="F1555" t="s">
        <v>1853</v>
      </c>
      <c r="G1555" t="s">
        <v>1862</v>
      </c>
      <c r="H1555" t="s">
        <v>1863</v>
      </c>
      <c r="J1555" t="s">
        <v>1869</v>
      </c>
    </row>
    <row r="1556" spans="1:10">
      <c r="A1556" s="1">
        <f>HYPERLINK("https://cms.ls-nyc.org/matter/dynamic-profile/view/1867358","18-1867358")</f>
        <v>0</v>
      </c>
      <c r="B1556" t="s">
        <v>11</v>
      </c>
      <c r="C1556" t="s">
        <v>16</v>
      </c>
      <c r="D1556" t="s">
        <v>728</v>
      </c>
      <c r="E1556" t="s">
        <v>1814</v>
      </c>
      <c r="F1556" t="s">
        <v>1853</v>
      </c>
      <c r="G1556" t="s">
        <v>1862</v>
      </c>
      <c r="H1556" t="s">
        <v>1863</v>
      </c>
      <c r="J1556" t="s">
        <v>1869</v>
      </c>
    </row>
    <row r="1557" spans="1:10">
      <c r="A1557" s="1">
        <f>HYPERLINK("https://cms.ls-nyc.org/matter/dynamic-profile/view/1866583","18-1866583")</f>
        <v>0</v>
      </c>
      <c r="B1557" t="s">
        <v>14</v>
      </c>
      <c r="C1557" t="s">
        <v>28</v>
      </c>
      <c r="D1557" t="s">
        <v>1290</v>
      </c>
      <c r="E1557" t="s">
        <v>1800</v>
      </c>
      <c r="F1557" t="s">
        <v>1859</v>
      </c>
      <c r="G1557" t="s">
        <v>1862</v>
      </c>
      <c r="H1557" t="s">
        <v>1864</v>
      </c>
      <c r="J1557" t="s">
        <v>1868</v>
      </c>
    </row>
    <row r="1558" spans="1:10">
      <c r="A1558" s="1">
        <f>HYPERLINK("https://cms.ls-nyc.org/matter/dynamic-profile/view/1866617","18-1866617")</f>
        <v>0</v>
      </c>
      <c r="B1558" t="s">
        <v>12</v>
      </c>
      <c r="C1558" t="s">
        <v>49</v>
      </c>
      <c r="D1558" t="s">
        <v>1217</v>
      </c>
      <c r="E1558" t="s">
        <v>1829</v>
      </c>
      <c r="G1558" t="s">
        <v>1862</v>
      </c>
      <c r="J1558" t="s">
        <v>1867</v>
      </c>
    </row>
    <row r="1559" spans="1:10">
      <c r="A1559" s="1">
        <f>HYPERLINK("https://cms.ls-nyc.org/matter/dynamic-profile/view/1866547","18-1866547")</f>
        <v>0</v>
      </c>
      <c r="B1559" t="s">
        <v>10</v>
      </c>
      <c r="C1559" t="s">
        <v>17</v>
      </c>
      <c r="D1559" t="s">
        <v>172</v>
      </c>
      <c r="E1559" t="s">
        <v>1815</v>
      </c>
      <c r="F1559" t="s">
        <v>1853</v>
      </c>
      <c r="G1559" t="s">
        <v>1862</v>
      </c>
      <c r="H1559" t="s">
        <v>1863</v>
      </c>
      <c r="J1559" t="s">
        <v>1867</v>
      </c>
    </row>
    <row r="1560" spans="1:10">
      <c r="A1560" s="1">
        <f>HYPERLINK("https://cms.ls-nyc.org/matter/dynamic-profile/view/1866610","18-1866610")</f>
        <v>0</v>
      </c>
      <c r="B1560" t="s">
        <v>11</v>
      </c>
      <c r="C1560" t="s">
        <v>41</v>
      </c>
      <c r="D1560" t="s">
        <v>1291</v>
      </c>
      <c r="E1560" t="s">
        <v>1815</v>
      </c>
      <c r="F1560" t="s">
        <v>1853</v>
      </c>
      <c r="G1560" t="s">
        <v>1862</v>
      </c>
      <c r="H1560" t="s">
        <v>1863</v>
      </c>
      <c r="J1560" t="s">
        <v>1867</v>
      </c>
    </row>
    <row r="1561" spans="1:10">
      <c r="A1561" s="1">
        <f>HYPERLINK("https://cms.ls-nyc.org/matter/dynamic-profile/view/1866625","18-1866625")</f>
        <v>0</v>
      </c>
      <c r="B1561" t="s">
        <v>15</v>
      </c>
      <c r="C1561" t="s">
        <v>34</v>
      </c>
      <c r="D1561" t="s">
        <v>1292</v>
      </c>
      <c r="E1561" t="s">
        <v>1814</v>
      </c>
      <c r="F1561" t="s">
        <v>1853</v>
      </c>
      <c r="G1561" t="s">
        <v>1862</v>
      </c>
      <c r="H1561" t="s">
        <v>1863</v>
      </c>
      <c r="J1561" t="s">
        <v>1869</v>
      </c>
    </row>
    <row r="1562" spans="1:10">
      <c r="A1562" s="1">
        <f>HYPERLINK("https://cms.ls-nyc.org/matter/dynamic-profile/view/1866626","18-1866626")</f>
        <v>0</v>
      </c>
      <c r="B1562" t="s">
        <v>10</v>
      </c>
      <c r="C1562" t="s">
        <v>16</v>
      </c>
      <c r="D1562" t="s">
        <v>1293</v>
      </c>
      <c r="E1562" t="s">
        <v>1815</v>
      </c>
      <c r="F1562" t="s">
        <v>1853</v>
      </c>
      <c r="G1562" t="s">
        <v>1862</v>
      </c>
      <c r="H1562" t="s">
        <v>1863</v>
      </c>
      <c r="J1562" t="s">
        <v>1869</v>
      </c>
    </row>
    <row r="1563" spans="1:10">
      <c r="A1563" s="1">
        <f>HYPERLINK("https://cms.ls-nyc.org/matter/dynamic-profile/view/1866462","18-1866462")</f>
        <v>0</v>
      </c>
      <c r="B1563" t="s">
        <v>12</v>
      </c>
      <c r="C1563" t="s">
        <v>49</v>
      </c>
      <c r="D1563" t="s">
        <v>1294</v>
      </c>
      <c r="E1563" t="s">
        <v>1841</v>
      </c>
      <c r="G1563" t="s">
        <v>1862</v>
      </c>
      <c r="I1563" t="s">
        <v>1865</v>
      </c>
      <c r="J1563" t="s">
        <v>1866</v>
      </c>
    </row>
    <row r="1564" spans="1:10">
      <c r="A1564" s="1">
        <f>HYPERLINK("https://cms.ls-nyc.org/matter/dynamic-profile/view/1866470","18-1866470")</f>
        <v>0</v>
      </c>
      <c r="B1564" t="s">
        <v>15</v>
      </c>
      <c r="C1564" t="s">
        <v>59</v>
      </c>
      <c r="D1564" t="s">
        <v>1295</v>
      </c>
      <c r="E1564" t="s">
        <v>1816</v>
      </c>
      <c r="F1564" t="s">
        <v>1853</v>
      </c>
      <c r="G1564" t="s">
        <v>1862</v>
      </c>
      <c r="H1564" t="s">
        <v>1863</v>
      </c>
      <c r="J1564" t="s">
        <v>1867</v>
      </c>
    </row>
    <row r="1565" spans="1:10">
      <c r="A1565" s="1">
        <f>HYPERLINK("https://cms.ls-nyc.org/matter/dynamic-profile/view/1866481","18-1866481")</f>
        <v>0</v>
      </c>
      <c r="B1565" t="s">
        <v>12</v>
      </c>
      <c r="C1565" t="s">
        <v>49</v>
      </c>
      <c r="D1565" t="s">
        <v>1296</v>
      </c>
      <c r="E1565" t="s">
        <v>1815</v>
      </c>
      <c r="G1565" t="s">
        <v>1862</v>
      </c>
      <c r="J1565" t="s">
        <v>1867</v>
      </c>
    </row>
    <row r="1566" spans="1:10">
      <c r="A1566" s="1">
        <f>HYPERLINK("https://cms.ls-nyc.org/matter/dynamic-profile/view/1866507","18-1866507")</f>
        <v>0</v>
      </c>
      <c r="B1566" t="s">
        <v>11</v>
      </c>
      <c r="C1566" t="s">
        <v>32</v>
      </c>
      <c r="D1566" t="s">
        <v>1297</v>
      </c>
      <c r="E1566" t="s">
        <v>1819</v>
      </c>
      <c r="F1566" t="s">
        <v>1853</v>
      </c>
      <c r="G1566" t="s">
        <v>1862</v>
      </c>
      <c r="H1566" t="s">
        <v>1863</v>
      </c>
      <c r="J1566" t="s">
        <v>1867</v>
      </c>
    </row>
    <row r="1567" spans="1:10">
      <c r="A1567" s="1">
        <f>HYPERLINK("https://cms.ls-nyc.org/matter/dynamic-profile/view/1866515","18-1866515")</f>
        <v>0</v>
      </c>
      <c r="B1567" t="s">
        <v>15</v>
      </c>
      <c r="C1567" t="s">
        <v>16</v>
      </c>
      <c r="D1567" t="s">
        <v>1298</v>
      </c>
      <c r="E1567" t="s">
        <v>1815</v>
      </c>
      <c r="F1567" t="s">
        <v>1853</v>
      </c>
      <c r="G1567" t="s">
        <v>1862</v>
      </c>
      <c r="J1567" t="s">
        <v>1867</v>
      </c>
    </row>
    <row r="1568" spans="1:10">
      <c r="A1568" s="1">
        <f>HYPERLINK("https://cms.ls-nyc.org/matter/dynamic-profile/view/1866521","18-1866521")</f>
        <v>0</v>
      </c>
      <c r="B1568" t="s">
        <v>15</v>
      </c>
      <c r="C1568" t="s">
        <v>59</v>
      </c>
      <c r="D1568" t="s">
        <v>1299</v>
      </c>
      <c r="E1568" t="s">
        <v>1816</v>
      </c>
      <c r="F1568" t="s">
        <v>1853</v>
      </c>
      <c r="G1568" t="s">
        <v>1862</v>
      </c>
      <c r="H1568" t="s">
        <v>1864</v>
      </c>
      <c r="J1568" t="s">
        <v>1867</v>
      </c>
    </row>
    <row r="1569" spans="1:10">
      <c r="A1569" s="1">
        <f>HYPERLINK("https://cms.ls-nyc.org/matter/dynamic-profile/view/1866277","18-1866277")</f>
        <v>0</v>
      </c>
      <c r="B1569" t="s">
        <v>10</v>
      </c>
      <c r="C1569" t="s">
        <v>16</v>
      </c>
      <c r="D1569" t="s">
        <v>1300</v>
      </c>
      <c r="E1569" t="s">
        <v>1810</v>
      </c>
      <c r="F1569" t="s">
        <v>1853</v>
      </c>
      <c r="G1569" t="s">
        <v>1862</v>
      </c>
      <c r="J1569" t="s">
        <v>1868</v>
      </c>
    </row>
    <row r="1570" spans="1:10">
      <c r="A1570" s="1">
        <f>HYPERLINK("https://cms.ls-nyc.org/matter/dynamic-profile/view/1866303","18-1866303")</f>
        <v>0</v>
      </c>
      <c r="B1570" t="s">
        <v>12</v>
      </c>
      <c r="C1570" t="s">
        <v>40</v>
      </c>
      <c r="D1570" t="s">
        <v>1301</v>
      </c>
      <c r="E1570" t="s">
        <v>1821</v>
      </c>
      <c r="G1570" t="s">
        <v>1862</v>
      </c>
      <c r="J1570" t="s">
        <v>1868</v>
      </c>
    </row>
    <row r="1571" spans="1:10">
      <c r="A1571" s="1">
        <f>HYPERLINK("https://cms.ls-nyc.org/matter/dynamic-profile/view/1866096","18-1866096")</f>
        <v>0</v>
      </c>
      <c r="B1571" t="s">
        <v>12</v>
      </c>
      <c r="C1571" t="s">
        <v>21</v>
      </c>
      <c r="D1571" t="s">
        <v>1302</v>
      </c>
      <c r="E1571" t="s">
        <v>1809</v>
      </c>
      <c r="F1571" t="s">
        <v>1858</v>
      </c>
      <c r="G1571" t="s">
        <v>1862</v>
      </c>
      <c r="J1571" t="s">
        <v>1868</v>
      </c>
    </row>
    <row r="1572" spans="1:10">
      <c r="A1572" s="1">
        <f>HYPERLINK("https://cms.ls-nyc.org/matter/dynamic-profile/view/1866095","18-1866095")</f>
        <v>0</v>
      </c>
      <c r="B1572" t="s">
        <v>14</v>
      </c>
      <c r="C1572" t="s">
        <v>28</v>
      </c>
      <c r="D1572" t="s">
        <v>1303</v>
      </c>
      <c r="E1572" t="s">
        <v>1800</v>
      </c>
      <c r="F1572" t="s">
        <v>1859</v>
      </c>
      <c r="G1572" t="s">
        <v>1862</v>
      </c>
      <c r="H1572" t="s">
        <v>1863</v>
      </c>
      <c r="J1572" t="s">
        <v>1868</v>
      </c>
    </row>
    <row r="1573" spans="1:10">
      <c r="A1573" s="1">
        <f>HYPERLINK("https://cms.ls-nyc.org/matter/dynamic-profile/view/1865929","18-1865929")</f>
        <v>0</v>
      </c>
      <c r="B1573" t="s">
        <v>15</v>
      </c>
      <c r="C1573" t="s">
        <v>59</v>
      </c>
      <c r="D1573" t="s">
        <v>1304</v>
      </c>
      <c r="E1573" t="s">
        <v>1830</v>
      </c>
      <c r="F1573" t="s">
        <v>1858</v>
      </c>
      <c r="G1573" t="s">
        <v>1862</v>
      </c>
      <c r="H1573" t="s">
        <v>1863</v>
      </c>
      <c r="J1573" t="s">
        <v>1868</v>
      </c>
    </row>
    <row r="1574" spans="1:10">
      <c r="A1574" s="1">
        <f>HYPERLINK("https://cms.ls-nyc.org/matter/dynamic-profile/view/1865936","18-1865936")</f>
        <v>0</v>
      </c>
      <c r="B1574" t="s">
        <v>15</v>
      </c>
      <c r="C1574" t="s">
        <v>59</v>
      </c>
      <c r="D1574" t="s">
        <v>1305</v>
      </c>
      <c r="E1574" t="s">
        <v>1821</v>
      </c>
      <c r="F1574" t="s">
        <v>1853</v>
      </c>
      <c r="G1574" t="s">
        <v>1862</v>
      </c>
      <c r="H1574" t="s">
        <v>1863</v>
      </c>
      <c r="J1574" t="s">
        <v>1868</v>
      </c>
    </row>
    <row r="1575" spans="1:10">
      <c r="A1575" s="1">
        <f>HYPERLINK("https://cms.ls-nyc.org/matter/dynamic-profile/view/1866033","18-1866033")</f>
        <v>0</v>
      </c>
      <c r="B1575" t="s">
        <v>10</v>
      </c>
      <c r="C1575" t="s">
        <v>16</v>
      </c>
      <c r="D1575" t="s">
        <v>1306</v>
      </c>
      <c r="E1575" t="s">
        <v>1815</v>
      </c>
      <c r="F1575" t="s">
        <v>1853</v>
      </c>
      <c r="G1575" t="s">
        <v>1862</v>
      </c>
      <c r="H1575" t="s">
        <v>1863</v>
      </c>
      <c r="J1575" t="s">
        <v>1869</v>
      </c>
    </row>
    <row r="1576" spans="1:10">
      <c r="A1576" s="1">
        <f>HYPERLINK("https://cms.ls-nyc.org/matter/dynamic-profile/view/1865888","18-1865888")</f>
        <v>0</v>
      </c>
      <c r="B1576" t="s">
        <v>10</v>
      </c>
      <c r="C1576" t="s">
        <v>16</v>
      </c>
      <c r="D1576" t="s">
        <v>1307</v>
      </c>
      <c r="E1576" t="s">
        <v>1815</v>
      </c>
      <c r="F1576" t="s">
        <v>1853</v>
      </c>
      <c r="G1576" t="s">
        <v>1862</v>
      </c>
      <c r="J1576" t="s">
        <v>1868</v>
      </c>
    </row>
    <row r="1577" spans="1:10">
      <c r="A1577" s="1">
        <f>HYPERLINK("https://cms.ls-nyc.org/matter/dynamic-profile/view/1865835","18-1865835")</f>
        <v>0</v>
      </c>
      <c r="B1577" t="s">
        <v>12</v>
      </c>
      <c r="C1577" t="s">
        <v>21</v>
      </c>
      <c r="D1577" t="s">
        <v>1308</v>
      </c>
      <c r="E1577" t="s">
        <v>1815</v>
      </c>
      <c r="F1577" t="s">
        <v>1858</v>
      </c>
      <c r="G1577" t="s">
        <v>1862</v>
      </c>
      <c r="H1577" t="s">
        <v>1863</v>
      </c>
      <c r="J1577" t="s">
        <v>1868</v>
      </c>
    </row>
    <row r="1578" spans="1:10">
      <c r="A1578" s="1">
        <f>HYPERLINK("https://cms.ls-nyc.org/matter/dynamic-profile/view/1865824","18-1865824")</f>
        <v>0</v>
      </c>
      <c r="B1578" t="s">
        <v>12</v>
      </c>
      <c r="C1578" t="s">
        <v>21</v>
      </c>
      <c r="D1578" t="s">
        <v>1309</v>
      </c>
      <c r="E1578" t="s">
        <v>1815</v>
      </c>
      <c r="F1578" t="s">
        <v>1853</v>
      </c>
      <c r="G1578" t="s">
        <v>1862</v>
      </c>
      <c r="H1578" t="s">
        <v>1863</v>
      </c>
      <c r="J1578" t="s">
        <v>1867</v>
      </c>
    </row>
    <row r="1579" spans="1:10">
      <c r="A1579" s="1">
        <f>HYPERLINK("https://cms.ls-nyc.org/matter/dynamic-profile/view/1865866","18-1865866")</f>
        <v>0</v>
      </c>
      <c r="B1579" t="s">
        <v>10</v>
      </c>
      <c r="C1579" t="s">
        <v>16</v>
      </c>
      <c r="D1579" t="s">
        <v>1310</v>
      </c>
      <c r="E1579" t="s">
        <v>1815</v>
      </c>
      <c r="F1579" t="s">
        <v>1853</v>
      </c>
      <c r="G1579" t="s">
        <v>1862</v>
      </c>
      <c r="H1579" t="s">
        <v>1863</v>
      </c>
      <c r="J1579" t="s">
        <v>1867</v>
      </c>
    </row>
    <row r="1580" spans="1:10">
      <c r="A1580" s="1">
        <f>HYPERLINK("https://cms.ls-nyc.org/matter/dynamic-profile/view/1865870","18-1865870")</f>
        <v>0</v>
      </c>
      <c r="B1580" t="s">
        <v>10</v>
      </c>
      <c r="C1580" t="s">
        <v>16</v>
      </c>
      <c r="D1580" t="s">
        <v>1310</v>
      </c>
      <c r="E1580" t="s">
        <v>1799</v>
      </c>
      <c r="F1580" t="s">
        <v>1853</v>
      </c>
      <c r="G1580" t="s">
        <v>1862</v>
      </c>
      <c r="H1580" t="s">
        <v>1863</v>
      </c>
      <c r="J1580" t="s">
        <v>1867</v>
      </c>
    </row>
    <row r="1581" spans="1:10">
      <c r="A1581" s="1">
        <f>HYPERLINK("https://cms.ls-nyc.org/matter/dynamic-profile/view/1865874","18-1865874")</f>
        <v>0</v>
      </c>
      <c r="B1581" t="s">
        <v>10</v>
      </c>
      <c r="C1581" t="s">
        <v>17</v>
      </c>
      <c r="D1581" t="s">
        <v>127</v>
      </c>
      <c r="E1581" t="s">
        <v>1815</v>
      </c>
      <c r="F1581" t="s">
        <v>1853</v>
      </c>
      <c r="G1581" t="s">
        <v>1862</v>
      </c>
      <c r="H1581" t="s">
        <v>1863</v>
      </c>
      <c r="J1581" t="s">
        <v>1867</v>
      </c>
    </row>
    <row r="1582" spans="1:10">
      <c r="A1582" s="1">
        <f>HYPERLINK("https://cms.ls-nyc.org/matter/dynamic-profile/view/1865904","18-1865904")</f>
        <v>0</v>
      </c>
      <c r="B1582" t="s">
        <v>14</v>
      </c>
      <c r="C1582" t="s">
        <v>28</v>
      </c>
      <c r="D1582" t="s">
        <v>1311</v>
      </c>
      <c r="E1582" t="s">
        <v>1815</v>
      </c>
      <c r="F1582" t="s">
        <v>1853</v>
      </c>
      <c r="G1582" t="s">
        <v>1862</v>
      </c>
      <c r="H1582" t="s">
        <v>1863</v>
      </c>
      <c r="J1582" t="s">
        <v>1867</v>
      </c>
    </row>
    <row r="1583" spans="1:10">
      <c r="A1583" s="1">
        <f>HYPERLINK("https://cms.ls-nyc.org/matter/dynamic-profile/view/1865738","18-1865738")</f>
        <v>0</v>
      </c>
      <c r="B1583" t="s">
        <v>15</v>
      </c>
      <c r="C1583" t="s">
        <v>16</v>
      </c>
      <c r="D1583" t="s">
        <v>1312</v>
      </c>
      <c r="E1583" t="s">
        <v>1815</v>
      </c>
      <c r="G1583" t="s">
        <v>1862</v>
      </c>
      <c r="J1583" t="s">
        <v>1868</v>
      </c>
    </row>
    <row r="1584" spans="1:10">
      <c r="A1584" s="1">
        <f>HYPERLINK("https://cms.ls-nyc.org/matter/dynamic-profile/view/1865800","18-1865800")</f>
        <v>0</v>
      </c>
      <c r="B1584" t="s">
        <v>10</v>
      </c>
      <c r="C1584" t="s">
        <v>16</v>
      </c>
      <c r="D1584" t="s">
        <v>1313</v>
      </c>
      <c r="E1584" t="s">
        <v>1815</v>
      </c>
      <c r="F1584" t="s">
        <v>1853</v>
      </c>
      <c r="G1584" t="s">
        <v>1862</v>
      </c>
      <c r="J1584" t="s">
        <v>1868</v>
      </c>
    </row>
    <row r="1585" spans="1:10">
      <c r="A1585" s="1">
        <f>HYPERLINK("https://cms.ls-nyc.org/matter/dynamic-profile/view/1865734","18-1865734")</f>
        <v>0</v>
      </c>
      <c r="B1585" t="s">
        <v>12</v>
      </c>
      <c r="C1585" t="s">
        <v>21</v>
      </c>
      <c r="D1585" t="s">
        <v>1314</v>
      </c>
      <c r="E1585" t="s">
        <v>1804</v>
      </c>
      <c r="F1585" t="s">
        <v>1853</v>
      </c>
      <c r="G1585" t="s">
        <v>1862</v>
      </c>
      <c r="H1585" t="s">
        <v>1863</v>
      </c>
      <c r="J1585" t="s">
        <v>1867</v>
      </c>
    </row>
    <row r="1586" spans="1:10">
      <c r="A1586" s="1">
        <f>HYPERLINK("https://cms.ls-nyc.org/matter/dynamic-profile/view/1865680","18-1865680")</f>
        <v>0</v>
      </c>
      <c r="B1586" t="s">
        <v>11</v>
      </c>
      <c r="C1586" t="s">
        <v>62</v>
      </c>
      <c r="D1586" t="s">
        <v>1315</v>
      </c>
      <c r="E1586" t="s">
        <v>1807</v>
      </c>
      <c r="F1586" t="s">
        <v>1855</v>
      </c>
      <c r="G1586" t="s">
        <v>1862</v>
      </c>
      <c r="J1586" t="s">
        <v>1869</v>
      </c>
    </row>
    <row r="1587" spans="1:10">
      <c r="A1587" s="1">
        <f>HYPERLINK("https://cms.ls-nyc.org/matter/dynamic-profile/view/1865703","18-1865703")</f>
        <v>0</v>
      </c>
      <c r="B1587" t="s">
        <v>10</v>
      </c>
      <c r="C1587" t="s">
        <v>16</v>
      </c>
      <c r="D1587" t="s">
        <v>1316</v>
      </c>
      <c r="E1587" t="s">
        <v>1825</v>
      </c>
      <c r="F1587" t="s">
        <v>1853</v>
      </c>
      <c r="G1587" t="s">
        <v>1862</v>
      </c>
      <c r="H1587" t="s">
        <v>1863</v>
      </c>
      <c r="J1587" t="s">
        <v>1867</v>
      </c>
    </row>
    <row r="1588" spans="1:10">
      <c r="A1588" s="1">
        <f>HYPERLINK("https://cms.ls-nyc.org/matter/dynamic-profile/view/1865728","18-1865728")</f>
        <v>0</v>
      </c>
      <c r="B1588" t="s">
        <v>11</v>
      </c>
      <c r="C1588" t="s">
        <v>38</v>
      </c>
      <c r="D1588" t="s">
        <v>1317</v>
      </c>
      <c r="E1588" t="s">
        <v>1800</v>
      </c>
      <c r="F1588" t="s">
        <v>1853</v>
      </c>
      <c r="G1588" t="s">
        <v>1862</v>
      </c>
      <c r="H1588" t="s">
        <v>1864</v>
      </c>
      <c r="J1588" t="s">
        <v>1867</v>
      </c>
    </row>
    <row r="1589" spans="1:10">
      <c r="A1589" s="1">
        <f>HYPERLINK("https://cms.ls-nyc.org/matter/dynamic-profile/view/1865747","18-1865747")</f>
        <v>0</v>
      </c>
      <c r="B1589" t="s">
        <v>11</v>
      </c>
      <c r="C1589" t="s">
        <v>18</v>
      </c>
      <c r="D1589" t="s">
        <v>1318</v>
      </c>
      <c r="E1589" t="s">
        <v>1816</v>
      </c>
      <c r="F1589" t="s">
        <v>1853</v>
      </c>
      <c r="G1589" t="s">
        <v>1862</v>
      </c>
      <c r="H1589" t="s">
        <v>1863</v>
      </c>
      <c r="J1589" t="s">
        <v>1867</v>
      </c>
    </row>
    <row r="1590" spans="1:10">
      <c r="A1590" s="1">
        <f>HYPERLINK("https://cms.ls-nyc.org/matter/dynamic-profile/view/1865677","18-1865677")</f>
        <v>0</v>
      </c>
      <c r="B1590" t="s">
        <v>15</v>
      </c>
      <c r="C1590" t="s">
        <v>34</v>
      </c>
      <c r="D1590" t="s">
        <v>1319</v>
      </c>
      <c r="E1590" t="s">
        <v>1802</v>
      </c>
      <c r="F1590" t="s">
        <v>1853</v>
      </c>
      <c r="G1590" t="s">
        <v>1862</v>
      </c>
      <c r="H1590" t="s">
        <v>1863</v>
      </c>
      <c r="J1590" t="s">
        <v>1869</v>
      </c>
    </row>
    <row r="1591" spans="1:10">
      <c r="A1591" s="1">
        <f>HYPERLINK("https://cms.ls-nyc.org/matter/dynamic-profile/view/1865507","18-1865507")</f>
        <v>0</v>
      </c>
      <c r="B1591" t="s">
        <v>12</v>
      </c>
      <c r="C1591" t="s">
        <v>21</v>
      </c>
      <c r="D1591" t="s">
        <v>1054</v>
      </c>
      <c r="E1591" t="s">
        <v>1807</v>
      </c>
      <c r="F1591" t="s">
        <v>1853</v>
      </c>
      <c r="G1591" t="s">
        <v>1862</v>
      </c>
      <c r="H1591" t="s">
        <v>1863</v>
      </c>
      <c r="J1591" t="s">
        <v>1869</v>
      </c>
    </row>
    <row r="1592" spans="1:10">
      <c r="A1592" s="1">
        <f>HYPERLINK("https://cms.ls-nyc.org/matter/dynamic-profile/view/1865406","18-1865406")</f>
        <v>0</v>
      </c>
      <c r="B1592" t="s">
        <v>10</v>
      </c>
      <c r="C1592" t="s">
        <v>17</v>
      </c>
      <c r="D1592" t="s">
        <v>1320</v>
      </c>
      <c r="E1592" t="s">
        <v>1825</v>
      </c>
      <c r="F1592" t="s">
        <v>1853</v>
      </c>
      <c r="G1592" t="s">
        <v>1862</v>
      </c>
      <c r="H1592" t="s">
        <v>1863</v>
      </c>
      <c r="J1592" t="s">
        <v>1867</v>
      </c>
    </row>
    <row r="1593" spans="1:10">
      <c r="A1593" s="1">
        <f>HYPERLINK("https://cms.ls-nyc.org/matter/dynamic-profile/view/1865451","18-1865451")</f>
        <v>0</v>
      </c>
      <c r="B1593" t="s">
        <v>10</v>
      </c>
      <c r="C1593" t="s">
        <v>16</v>
      </c>
      <c r="D1593" t="s">
        <v>1321</v>
      </c>
      <c r="E1593" t="s">
        <v>1815</v>
      </c>
      <c r="F1593" t="s">
        <v>1853</v>
      </c>
      <c r="G1593" t="s">
        <v>1862</v>
      </c>
      <c r="H1593" t="s">
        <v>1864</v>
      </c>
      <c r="J1593" t="s">
        <v>1867</v>
      </c>
    </row>
    <row r="1594" spans="1:10">
      <c r="A1594" s="1">
        <f>HYPERLINK("https://cms.ls-nyc.org/matter/dynamic-profile/view/1865504","18-1865504")</f>
        <v>0</v>
      </c>
      <c r="B1594" t="s">
        <v>11</v>
      </c>
      <c r="C1594" t="s">
        <v>41</v>
      </c>
      <c r="D1594" t="s">
        <v>1322</v>
      </c>
      <c r="E1594" t="s">
        <v>1815</v>
      </c>
      <c r="F1594" t="s">
        <v>1853</v>
      </c>
      <c r="G1594" t="s">
        <v>1862</v>
      </c>
      <c r="H1594" t="s">
        <v>1863</v>
      </c>
      <c r="J1594" t="s">
        <v>1867</v>
      </c>
    </row>
    <row r="1595" spans="1:10">
      <c r="A1595" s="1">
        <f>HYPERLINK("https://cms.ls-nyc.org/matter/dynamic-profile/view/1865259","18-1865259")</f>
        <v>0</v>
      </c>
      <c r="B1595" t="s">
        <v>10</v>
      </c>
      <c r="C1595" t="s">
        <v>59</v>
      </c>
      <c r="D1595" t="s">
        <v>1254</v>
      </c>
      <c r="E1595" t="s">
        <v>1821</v>
      </c>
      <c r="F1595" t="s">
        <v>1853</v>
      </c>
      <c r="G1595" t="s">
        <v>1862</v>
      </c>
      <c r="H1595" t="s">
        <v>1863</v>
      </c>
      <c r="J1595" t="s">
        <v>1867</v>
      </c>
    </row>
    <row r="1596" spans="1:10">
      <c r="A1596" s="1">
        <f>HYPERLINK("https://cms.ls-nyc.org/matter/dynamic-profile/view/1861887","18-1861887")</f>
        <v>0</v>
      </c>
      <c r="B1596" t="s">
        <v>13</v>
      </c>
      <c r="C1596" t="s">
        <v>29</v>
      </c>
      <c r="D1596" t="s">
        <v>345</v>
      </c>
      <c r="E1596" t="s">
        <v>1807</v>
      </c>
      <c r="F1596" t="s">
        <v>1853</v>
      </c>
      <c r="G1596" t="s">
        <v>1862</v>
      </c>
      <c r="H1596" t="s">
        <v>1863</v>
      </c>
      <c r="J1596" t="s">
        <v>1869</v>
      </c>
    </row>
    <row r="1597" spans="1:10">
      <c r="A1597" s="1">
        <f>HYPERLINK("https://cms.ls-nyc.org/matter/dynamic-profile/view/1865236","18-1865236")</f>
        <v>0</v>
      </c>
      <c r="B1597" t="s">
        <v>15</v>
      </c>
      <c r="C1597" t="s">
        <v>47</v>
      </c>
      <c r="D1597" t="s">
        <v>650</v>
      </c>
      <c r="E1597" t="s">
        <v>1807</v>
      </c>
      <c r="F1597" t="s">
        <v>1853</v>
      </c>
      <c r="G1597" t="s">
        <v>1862</v>
      </c>
      <c r="H1597" t="s">
        <v>1863</v>
      </c>
      <c r="J1597" t="s">
        <v>1869</v>
      </c>
    </row>
    <row r="1598" spans="1:10">
      <c r="A1598" s="1">
        <f>HYPERLINK("https://cms.ls-nyc.org/matter/dynamic-profile/view/1865238","18-1865238")</f>
        <v>0</v>
      </c>
      <c r="B1598" t="s">
        <v>11</v>
      </c>
      <c r="C1598" t="s">
        <v>32</v>
      </c>
      <c r="D1598" t="s">
        <v>1297</v>
      </c>
      <c r="E1598" t="s">
        <v>1809</v>
      </c>
      <c r="F1598" t="s">
        <v>1855</v>
      </c>
      <c r="G1598" t="s">
        <v>1862</v>
      </c>
      <c r="H1598" t="s">
        <v>1863</v>
      </c>
      <c r="J1598" t="s">
        <v>1871</v>
      </c>
    </row>
    <row r="1599" spans="1:10">
      <c r="A1599" s="1">
        <f>HYPERLINK("https://cms.ls-nyc.org/matter/dynamic-profile/view/1865540","18-1865540")</f>
        <v>0</v>
      </c>
      <c r="B1599" t="s">
        <v>14</v>
      </c>
      <c r="C1599" t="s">
        <v>26</v>
      </c>
      <c r="D1599" t="s">
        <v>1323</v>
      </c>
      <c r="E1599" t="s">
        <v>1815</v>
      </c>
      <c r="F1599" t="s">
        <v>1858</v>
      </c>
      <c r="G1599" t="s">
        <v>1862</v>
      </c>
      <c r="H1599" t="s">
        <v>1863</v>
      </c>
      <c r="J1599" t="s">
        <v>1868</v>
      </c>
    </row>
    <row r="1600" spans="1:10">
      <c r="A1600" s="1">
        <f>HYPERLINK("https://cms.ls-nyc.org/matter/dynamic-profile/view/1864958","18-1864958")</f>
        <v>0</v>
      </c>
      <c r="B1600" t="s">
        <v>12</v>
      </c>
      <c r="C1600" t="s">
        <v>49</v>
      </c>
      <c r="D1600" t="s">
        <v>1324</v>
      </c>
      <c r="E1600" t="s">
        <v>1815</v>
      </c>
      <c r="G1600" t="s">
        <v>1862</v>
      </c>
      <c r="J1600" t="s">
        <v>1868</v>
      </c>
    </row>
    <row r="1601" spans="1:10">
      <c r="A1601" s="1">
        <f>HYPERLINK("https://cms.ls-nyc.org/matter/dynamic-profile/view/1864935","18-1864935")</f>
        <v>0</v>
      </c>
      <c r="B1601" t="s">
        <v>12</v>
      </c>
      <c r="C1601" t="s">
        <v>33</v>
      </c>
      <c r="D1601" t="s">
        <v>1325</v>
      </c>
      <c r="E1601" t="s">
        <v>1803</v>
      </c>
      <c r="F1601" t="s">
        <v>1855</v>
      </c>
      <c r="G1601" t="s">
        <v>1862</v>
      </c>
      <c r="H1601" t="s">
        <v>1863</v>
      </c>
      <c r="J1601" t="s">
        <v>1870</v>
      </c>
    </row>
    <row r="1602" spans="1:10">
      <c r="A1602" s="1">
        <f>HYPERLINK("https://cms.ls-nyc.org/matter/dynamic-profile/view/1864990","18-1864990")</f>
        <v>0</v>
      </c>
      <c r="B1602" t="s">
        <v>10</v>
      </c>
      <c r="C1602" t="s">
        <v>17</v>
      </c>
      <c r="D1602" t="s">
        <v>607</v>
      </c>
      <c r="E1602" t="s">
        <v>1810</v>
      </c>
      <c r="F1602" t="s">
        <v>1853</v>
      </c>
      <c r="G1602" t="s">
        <v>1862</v>
      </c>
      <c r="H1602" t="s">
        <v>1863</v>
      </c>
      <c r="J1602" t="s">
        <v>1869</v>
      </c>
    </row>
    <row r="1603" spans="1:10">
      <c r="A1603" s="1">
        <f>HYPERLINK("https://cms.ls-nyc.org/matter/dynamic-profile/view/1864811","18-1864811")</f>
        <v>0</v>
      </c>
      <c r="B1603" t="s">
        <v>12</v>
      </c>
      <c r="C1603" t="s">
        <v>33</v>
      </c>
      <c r="D1603" t="s">
        <v>1236</v>
      </c>
      <c r="G1603" t="s">
        <v>1862</v>
      </c>
      <c r="J1603" t="s">
        <v>1868</v>
      </c>
    </row>
    <row r="1604" spans="1:10">
      <c r="A1604" s="1">
        <f>HYPERLINK("https://cms.ls-nyc.org/matter/dynamic-profile/view/1864804","18-1864804")</f>
        <v>0</v>
      </c>
      <c r="B1604" t="s">
        <v>14</v>
      </c>
      <c r="C1604" t="s">
        <v>28</v>
      </c>
      <c r="D1604" t="s">
        <v>1326</v>
      </c>
      <c r="E1604" t="s">
        <v>1823</v>
      </c>
      <c r="F1604" t="s">
        <v>1859</v>
      </c>
      <c r="G1604" t="s">
        <v>1862</v>
      </c>
      <c r="H1604" t="s">
        <v>1863</v>
      </c>
      <c r="J1604" t="s">
        <v>1868</v>
      </c>
    </row>
    <row r="1605" spans="1:10">
      <c r="A1605" s="1">
        <f>HYPERLINK("https://cms.ls-nyc.org/matter/dynamic-profile/view/1864806","18-1864806")</f>
        <v>0</v>
      </c>
      <c r="B1605" t="s">
        <v>14</v>
      </c>
      <c r="C1605" t="s">
        <v>28</v>
      </c>
      <c r="D1605" t="s">
        <v>1327</v>
      </c>
      <c r="E1605" t="s">
        <v>1823</v>
      </c>
      <c r="F1605" t="s">
        <v>1859</v>
      </c>
      <c r="G1605" t="s">
        <v>1862</v>
      </c>
      <c r="H1605" t="s">
        <v>1863</v>
      </c>
      <c r="J1605" t="s">
        <v>1868</v>
      </c>
    </row>
    <row r="1606" spans="1:10">
      <c r="A1606" s="1">
        <f>HYPERLINK("https://cms.ls-nyc.org/matter/dynamic-profile/view/1864746","18-1864746")</f>
        <v>0</v>
      </c>
      <c r="B1606" t="s">
        <v>15</v>
      </c>
      <c r="C1606" t="s">
        <v>34</v>
      </c>
      <c r="D1606" t="s">
        <v>1328</v>
      </c>
      <c r="E1606" t="s">
        <v>1810</v>
      </c>
      <c r="F1606" t="s">
        <v>1853</v>
      </c>
      <c r="G1606" t="s">
        <v>1862</v>
      </c>
      <c r="H1606" t="s">
        <v>1863</v>
      </c>
      <c r="J1606" t="s">
        <v>1869</v>
      </c>
    </row>
    <row r="1607" spans="1:10">
      <c r="A1607" s="1">
        <f>HYPERLINK("https://cms.ls-nyc.org/matter/dynamic-profile/view/1864798","18-1864798")</f>
        <v>0</v>
      </c>
      <c r="B1607" t="s">
        <v>15</v>
      </c>
      <c r="C1607" t="s">
        <v>56</v>
      </c>
      <c r="D1607" t="s">
        <v>1329</v>
      </c>
      <c r="E1607" t="s">
        <v>1800</v>
      </c>
      <c r="F1607" t="s">
        <v>1853</v>
      </c>
      <c r="G1607" t="s">
        <v>1862</v>
      </c>
      <c r="H1607" t="s">
        <v>1864</v>
      </c>
      <c r="J1607" t="s">
        <v>1867</v>
      </c>
    </row>
    <row r="1608" spans="1:10">
      <c r="A1608" s="1">
        <f>HYPERLINK("https://cms.ls-nyc.org/matter/dynamic-profile/view/1864590","18-1864590")</f>
        <v>0</v>
      </c>
      <c r="B1608" t="s">
        <v>12</v>
      </c>
      <c r="C1608" t="s">
        <v>21</v>
      </c>
      <c r="D1608" t="s">
        <v>1330</v>
      </c>
      <c r="E1608" t="s">
        <v>1835</v>
      </c>
      <c r="F1608" t="s">
        <v>1853</v>
      </c>
      <c r="G1608" t="s">
        <v>1862</v>
      </c>
      <c r="H1608" t="s">
        <v>1863</v>
      </c>
      <c r="J1608" t="s">
        <v>1867</v>
      </c>
    </row>
    <row r="1609" spans="1:10">
      <c r="A1609" s="1">
        <f>HYPERLINK("https://cms.ls-nyc.org/matter/dynamic-profile/view/1864647","18-1864647")</f>
        <v>0</v>
      </c>
      <c r="B1609" t="s">
        <v>11</v>
      </c>
      <c r="C1609" t="s">
        <v>36</v>
      </c>
      <c r="D1609" t="s">
        <v>1331</v>
      </c>
      <c r="E1609" t="s">
        <v>1816</v>
      </c>
      <c r="F1609" t="s">
        <v>1853</v>
      </c>
      <c r="G1609" t="s">
        <v>1862</v>
      </c>
      <c r="H1609" t="s">
        <v>1863</v>
      </c>
      <c r="J1609" t="s">
        <v>1867</v>
      </c>
    </row>
    <row r="1610" spans="1:10">
      <c r="A1610" s="1">
        <f>HYPERLINK("https://cms.ls-nyc.org/matter/dynamic-profile/view/1864693","18-1864693")</f>
        <v>0</v>
      </c>
      <c r="B1610" t="s">
        <v>10</v>
      </c>
      <c r="C1610" t="s">
        <v>16</v>
      </c>
      <c r="D1610" t="s">
        <v>1332</v>
      </c>
      <c r="E1610" t="s">
        <v>1815</v>
      </c>
      <c r="F1610" t="s">
        <v>1853</v>
      </c>
      <c r="G1610" t="s">
        <v>1862</v>
      </c>
      <c r="H1610" t="s">
        <v>1863</v>
      </c>
      <c r="J1610" t="s">
        <v>1867</v>
      </c>
    </row>
    <row r="1611" spans="1:10">
      <c r="A1611" s="1">
        <f>HYPERLINK("https://cms.ls-nyc.org/matter/dynamic-profile/view/1864718","18-1864718")</f>
        <v>0</v>
      </c>
      <c r="B1611" t="s">
        <v>12</v>
      </c>
      <c r="C1611" t="s">
        <v>40</v>
      </c>
      <c r="D1611" t="s">
        <v>1333</v>
      </c>
      <c r="E1611" t="s">
        <v>1821</v>
      </c>
      <c r="F1611" t="s">
        <v>1853</v>
      </c>
      <c r="G1611" t="s">
        <v>1862</v>
      </c>
      <c r="H1611" t="s">
        <v>1863</v>
      </c>
      <c r="J1611" t="s">
        <v>1867</v>
      </c>
    </row>
    <row r="1612" spans="1:10">
      <c r="A1612" s="1">
        <f>HYPERLINK("https://cms.ls-nyc.org/matter/dynamic-profile/view/1864721","18-1864721")</f>
        <v>0</v>
      </c>
      <c r="B1612" t="s">
        <v>12</v>
      </c>
      <c r="C1612" t="s">
        <v>40</v>
      </c>
      <c r="D1612" t="s">
        <v>1333</v>
      </c>
      <c r="E1612" t="s">
        <v>1821</v>
      </c>
      <c r="F1612" t="s">
        <v>1853</v>
      </c>
      <c r="G1612" t="s">
        <v>1862</v>
      </c>
      <c r="H1612" t="s">
        <v>1863</v>
      </c>
      <c r="J1612" t="s">
        <v>1867</v>
      </c>
    </row>
    <row r="1613" spans="1:10">
      <c r="A1613" s="1">
        <f>HYPERLINK("https://cms.ls-nyc.org/matter/dynamic-profile/view/1864499","18-1864499")</f>
        <v>0</v>
      </c>
      <c r="B1613" t="s">
        <v>12</v>
      </c>
      <c r="C1613" t="s">
        <v>16</v>
      </c>
      <c r="D1613" t="s">
        <v>1334</v>
      </c>
      <c r="E1613" t="s">
        <v>1807</v>
      </c>
      <c r="G1613" t="s">
        <v>1862</v>
      </c>
      <c r="H1613" t="s">
        <v>1863</v>
      </c>
      <c r="J1613" t="s">
        <v>1869</v>
      </c>
    </row>
    <row r="1614" spans="1:10">
      <c r="A1614" s="1">
        <f>HYPERLINK("https://cms.ls-nyc.org/matter/dynamic-profile/view/1864534","18-1864534")</f>
        <v>0</v>
      </c>
      <c r="B1614" t="s">
        <v>15</v>
      </c>
      <c r="C1614" t="s">
        <v>27</v>
      </c>
      <c r="D1614" t="s">
        <v>105</v>
      </c>
      <c r="E1614" t="s">
        <v>1802</v>
      </c>
      <c r="G1614" t="s">
        <v>1862</v>
      </c>
      <c r="J1614" t="s">
        <v>1869</v>
      </c>
    </row>
    <row r="1615" spans="1:10">
      <c r="A1615" s="1">
        <f>HYPERLINK("https://cms.ls-nyc.org/matter/dynamic-profile/view/1864350","18-1864350")</f>
        <v>0</v>
      </c>
      <c r="B1615" t="s">
        <v>11</v>
      </c>
      <c r="C1615" t="s">
        <v>41</v>
      </c>
      <c r="D1615" t="s">
        <v>1335</v>
      </c>
      <c r="E1615" t="s">
        <v>1815</v>
      </c>
      <c r="F1615" t="s">
        <v>1853</v>
      </c>
      <c r="G1615" t="s">
        <v>1862</v>
      </c>
      <c r="I1615" t="s">
        <v>1865</v>
      </c>
      <c r="J1615" t="s">
        <v>1866</v>
      </c>
    </row>
    <row r="1616" spans="1:10">
      <c r="A1616" s="1">
        <f>HYPERLINK("https://cms.ls-nyc.org/matter/dynamic-profile/view/1864261","18-1864261")</f>
        <v>0</v>
      </c>
      <c r="B1616" t="s">
        <v>12</v>
      </c>
      <c r="C1616" t="s">
        <v>21</v>
      </c>
      <c r="D1616" t="s">
        <v>1336</v>
      </c>
      <c r="E1616" t="s">
        <v>1815</v>
      </c>
      <c r="F1616" t="s">
        <v>1853</v>
      </c>
      <c r="G1616" t="s">
        <v>1862</v>
      </c>
      <c r="H1616" t="s">
        <v>1863</v>
      </c>
      <c r="J1616" t="s">
        <v>1869</v>
      </c>
    </row>
    <row r="1617" spans="1:10">
      <c r="A1617" s="1">
        <f>HYPERLINK("https://cms.ls-nyc.org/matter/dynamic-profile/view/1864265","18-1864265")</f>
        <v>0</v>
      </c>
      <c r="B1617" t="s">
        <v>13</v>
      </c>
      <c r="C1617" t="s">
        <v>22</v>
      </c>
      <c r="D1617" t="s">
        <v>1337</v>
      </c>
      <c r="E1617" t="s">
        <v>1809</v>
      </c>
      <c r="F1617" t="s">
        <v>1855</v>
      </c>
      <c r="G1617" t="s">
        <v>1862</v>
      </c>
      <c r="H1617" t="s">
        <v>1863</v>
      </c>
      <c r="J1617" t="s">
        <v>1871</v>
      </c>
    </row>
    <row r="1618" spans="1:10">
      <c r="A1618" s="1">
        <f>HYPERLINK("https://cms.ls-nyc.org/matter/dynamic-profile/view/1864288","18-1864288")</f>
        <v>0</v>
      </c>
      <c r="B1618" t="s">
        <v>10</v>
      </c>
      <c r="C1618" t="s">
        <v>16</v>
      </c>
      <c r="D1618" t="s">
        <v>1338</v>
      </c>
      <c r="E1618" t="s">
        <v>1815</v>
      </c>
      <c r="F1618" t="s">
        <v>1853</v>
      </c>
      <c r="G1618" t="s">
        <v>1862</v>
      </c>
      <c r="H1618" t="s">
        <v>1863</v>
      </c>
      <c r="J1618" t="s">
        <v>1869</v>
      </c>
    </row>
    <row r="1619" spans="1:10">
      <c r="A1619" s="1">
        <f>HYPERLINK("https://cms.ls-nyc.org/matter/dynamic-profile/view/1864310","18-1864310")</f>
        <v>0</v>
      </c>
      <c r="B1619" t="s">
        <v>10</v>
      </c>
      <c r="C1619" t="s">
        <v>16</v>
      </c>
      <c r="D1619" t="s">
        <v>1339</v>
      </c>
      <c r="E1619" t="s">
        <v>1810</v>
      </c>
      <c r="F1619" t="s">
        <v>1853</v>
      </c>
      <c r="G1619" t="s">
        <v>1862</v>
      </c>
      <c r="H1619" t="s">
        <v>1863</v>
      </c>
      <c r="J1619" t="s">
        <v>1869</v>
      </c>
    </row>
    <row r="1620" spans="1:10">
      <c r="A1620" s="1">
        <f>HYPERLINK("https://cms.ls-nyc.org/matter/dynamic-profile/view/1864074","18-1864074")</f>
        <v>0</v>
      </c>
      <c r="B1620" t="s">
        <v>10</v>
      </c>
      <c r="C1620" t="s">
        <v>16</v>
      </c>
      <c r="D1620" t="s">
        <v>1340</v>
      </c>
      <c r="E1620" t="s">
        <v>1815</v>
      </c>
      <c r="F1620" t="s">
        <v>1858</v>
      </c>
      <c r="G1620" t="s">
        <v>1862</v>
      </c>
      <c r="H1620" t="s">
        <v>1863</v>
      </c>
      <c r="J1620" t="s">
        <v>1868</v>
      </c>
    </row>
    <row r="1621" spans="1:10">
      <c r="A1621" s="1">
        <f>HYPERLINK("https://cms.ls-nyc.org/matter/dynamic-profile/view/1864086","18-1864086")</f>
        <v>0</v>
      </c>
      <c r="B1621" t="s">
        <v>10</v>
      </c>
      <c r="C1621" t="s">
        <v>16</v>
      </c>
      <c r="D1621" t="s">
        <v>1341</v>
      </c>
      <c r="E1621" t="s">
        <v>1815</v>
      </c>
      <c r="F1621" t="s">
        <v>1858</v>
      </c>
      <c r="G1621" t="s">
        <v>1862</v>
      </c>
      <c r="H1621" t="s">
        <v>1863</v>
      </c>
      <c r="J1621" t="s">
        <v>1868</v>
      </c>
    </row>
    <row r="1622" spans="1:10">
      <c r="A1622" s="1">
        <f>HYPERLINK("https://cms.ls-nyc.org/matter/dynamic-profile/view/1864169","18-1864169")</f>
        <v>0</v>
      </c>
      <c r="B1622" t="s">
        <v>10</v>
      </c>
      <c r="C1622" t="s">
        <v>16</v>
      </c>
      <c r="D1622" t="s">
        <v>1342</v>
      </c>
      <c r="E1622" t="s">
        <v>1815</v>
      </c>
      <c r="F1622" t="s">
        <v>1853</v>
      </c>
      <c r="G1622" t="s">
        <v>1862</v>
      </c>
      <c r="H1622" t="s">
        <v>1863</v>
      </c>
      <c r="J1622" t="s">
        <v>1867</v>
      </c>
    </row>
    <row r="1623" spans="1:10">
      <c r="A1623" s="1">
        <f>HYPERLINK("https://cms.ls-nyc.org/matter/dynamic-profile/view/1863959","18-1863959")</f>
        <v>0</v>
      </c>
      <c r="B1623" t="s">
        <v>14</v>
      </c>
      <c r="C1623" t="s">
        <v>28</v>
      </c>
      <c r="D1623" t="s">
        <v>275</v>
      </c>
      <c r="E1623" t="s">
        <v>1804</v>
      </c>
      <c r="F1623" t="s">
        <v>1853</v>
      </c>
      <c r="G1623" t="s">
        <v>1862</v>
      </c>
      <c r="H1623" t="s">
        <v>1863</v>
      </c>
      <c r="J1623" t="s">
        <v>1867</v>
      </c>
    </row>
    <row r="1624" spans="1:10">
      <c r="A1624" s="1">
        <f>HYPERLINK("https://cms.ls-nyc.org/matter/dynamic-profile/view/1864027","18-1864027")</f>
        <v>0</v>
      </c>
      <c r="B1624" t="s">
        <v>11</v>
      </c>
      <c r="C1624" t="s">
        <v>41</v>
      </c>
      <c r="D1624" t="s">
        <v>1343</v>
      </c>
      <c r="E1624" t="s">
        <v>1816</v>
      </c>
      <c r="F1624" t="s">
        <v>1858</v>
      </c>
      <c r="G1624" t="s">
        <v>1862</v>
      </c>
      <c r="H1624" t="s">
        <v>1863</v>
      </c>
      <c r="J1624" t="s">
        <v>1868</v>
      </c>
    </row>
    <row r="1625" spans="1:10">
      <c r="A1625" s="1">
        <f>HYPERLINK("https://cms.ls-nyc.org/matter/dynamic-profile/view/1863931","18-1863931")</f>
        <v>0</v>
      </c>
      <c r="B1625" t="s">
        <v>14</v>
      </c>
      <c r="C1625" t="s">
        <v>42</v>
      </c>
      <c r="D1625" t="s">
        <v>975</v>
      </c>
      <c r="E1625" t="s">
        <v>1816</v>
      </c>
      <c r="F1625" t="s">
        <v>1853</v>
      </c>
      <c r="G1625" t="s">
        <v>1862</v>
      </c>
      <c r="H1625" t="s">
        <v>1863</v>
      </c>
      <c r="J1625" t="s">
        <v>1867</v>
      </c>
    </row>
    <row r="1626" spans="1:10">
      <c r="A1626" s="1">
        <f>HYPERLINK("https://cms.ls-nyc.org/matter/dynamic-profile/view/1863985","18-1863985")</f>
        <v>0</v>
      </c>
      <c r="B1626" t="s">
        <v>10</v>
      </c>
      <c r="C1626" t="s">
        <v>16</v>
      </c>
      <c r="D1626" t="s">
        <v>1274</v>
      </c>
      <c r="E1626" t="s">
        <v>1814</v>
      </c>
      <c r="F1626" t="s">
        <v>1853</v>
      </c>
      <c r="G1626" t="s">
        <v>1862</v>
      </c>
      <c r="H1626" t="s">
        <v>1863</v>
      </c>
      <c r="J1626" t="s">
        <v>1869</v>
      </c>
    </row>
    <row r="1627" spans="1:10">
      <c r="A1627" s="1">
        <f>HYPERLINK("https://cms.ls-nyc.org/matter/dynamic-profile/view/1864008","18-1864008")</f>
        <v>0</v>
      </c>
      <c r="B1627" t="s">
        <v>10</v>
      </c>
      <c r="C1627" t="s">
        <v>16</v>
      </c>
      <c r="D1627" t="s">
        <v>1344</v>
      </c>
      <c r="E1627" t="s">
        <v>1815</v>
      </c>
      <c r="F1627" t="s">
        <v>1853</v>
      </c>
      <c r="G1627" t="s">
        <v>1862</v>
      </c>
      <c r="H1627" t="s">
        <v>1863</v>
      </c>
      <c r="J1627" t="s">
        <v>1867</v>
      </c>
    </row>
    <row r="1628" spans="1:10">
      <c r="A1628" s="1">
        <f>HYPERLINK("https://cms.ls-nyc.org/matter/dynamic-profile/view/1863814","18-1863814")</f>
        <v>0</v>
      </c>
      <c r="B1628" t="s">
        <v>15</v>
      </c>
      <c r="C1628" t="s">
        <v>27</v>
      </c>
      <c r="D1628" t="s">
        <v>1345</v>
      </c>
      <c r="E1628" t="s">
        <v>1808</v>
      </c>
      <c r="F1628" t="s">
        <v>1857</v>
      </c>
      <c r="G1628" t="s">
        <v>1862</v>
      </c>
      <c r="H1628" t="s">
        <v>1864</v>
      </c>
      <c r="J1628" t="s">
        <v>1867</v>
      </c>
    </row>
    <row r="1629" spans="1:10">
      <c r="A1629" s="1">
        <f>HYPERLINK("https://cms.ls-nyc.org/matter/dynamic-profile/view/1863766","18-1863766")</f>
        <v>0</v>
      </c>
      <c r="B1629" t="s">
        <v>10</v>
      </c>
      <c r="C1629" t="s">
        <v>16</v>
      </c>
      <c r="D1629" t="s">
        <v>1346</v>
      </c>
      <c r="E1629" t="s">
        <v>1799</v>
      </c>
      <c r="F1629" t="s">
        <v>1853</v>
      </c>
      <c r="G1629" t="s">
        <v>1862</v>
      </c>
      <c r="H1629" t="s">
        <v>1863</v>
      </c>
      <c r="J1629" t="s">
        <v>1867</v>
      </c>
    </row>
    <row r="1630" spans="1:10">
      <c r="A1630" s="1">
        <f>HYPERLINK("https://cms.ls-nyc.org/matter/dynamic-profile/view/1863772","18-1863772")</f>
        <v>0</v>
      </c>
      <c r="B1630" t="s">
        <v>10</v>
      </c>
      <c r="C1630" t="s">
        <v>16</v>
      </c>
      <c r="D1630" t="s">
        <v>1175</v>
      </c>
      <c r="E1630" t="s">
        <v>1799</v>
      </c>
      <c r="F1630" t="s">
        <v>1853</v>
      </c>
      <c r="G1630" t="s">
        <v>1862</v>
      </c>
      <c r="H1630" t="s">
        <v>1863</v>
      </c>
      <c r="J1630" t="s">
        <v>1867</v>
      </c>
    </row>
    <row r="1631" spans="1:10">
      <c r="A1631" s="1">
        <f>HYPERLINK("https://cms.ls-nyc.org/matter/dynamic-profile/view/1863784","18-1863784")</f>
        <v>0</v>
      </c>
      <c r="B1631" t="s">
        <v>10</v>
      </c>
      <c r="C1631" t="s">
        <v>16</v>
      </c>
      <c r="D1631" t="s">
        <v>1347</v>
      </c>
      <c r="E1631" t="s">
        <v>1799</v>
      </c>
      <c r="F1631" t="s">
        <v>1853</v>
      </c>
      <c r="G1631" t="s">
        <v>1862</v>
      </c>
      <c r="H1631" t="s">
        <v>1863</v>
      </c>
      <c r="J1631" t="s">
        <v>1867</v>
      </c>
    </row>
    <row r="1632" spans="1:10">
      <c r="A1632" s="1">
        <f>HYPERLINK("https://cms.ls-nyc.org/matter/dynamic-profile/view/1863793","18-1863793")</f>
        <v>0</v>
      </c>
      <c r="B1632" t="s">
        <v>10</v>
      </c>
      <c r="C1632" t="s">
        <v>16</v>
      </c>
      <c r="D1632" t="s">
        <v>1348</v>
      </c>
      <c r="E1632" t="s">
        <v>1800</v>
      </c>
      <c r="F1632" t="s">
        <v>1853</v>
      </c>
      <c r="G1632" t="s">
        <v>1862</v>
      </c>
      <c r="H1632" t="s">
        <v>1863</v>
      </c>
      <c r="J1632" t="s">
        <v>1869</v>
      </c>
    </row>
    <row r="1633" spans="1:10">
      <c r="A1633" s="1">
        <f>HYPERLINK("https://cms.ls-nyc.org/matter/dynamic-profile/view/1863803","18-1863803")</f>
        <v>0</v>
      </c>
      <c r="B1633" t="s">
        <v>10</v>
      </c>
      <c r="C1633" t="s">
        <v>16</v>
      </c>
      <c r="D1633" t="s">
        <v>1349</v>
      </c>
      <c r="E1633" t="s">
        <v>1799</v>
      </c>
      <c r="F1633" t="s">
        <v>1853</v>
      </c>
      <c r="G1633" t="s">
        <v>1862</v>
      </c>
      <c r="H1633" t="s">
        <v>1863</v>
      </c>
      <c r="J1633" t="s">
        <v>1867</v>
      </c>
    </row>
    <row r="1634" spans="1:10">
      <c r="A1634" s="1">
        <f>HYPERLINK("https://cms.ls-nyc.org/matter/dynamic-profile/view/1863804","18-1863804")</f>
        <v>0</v>
      </c>
      <c r="B1634" t="s">
        <v>10</v>
      </c>
      <c r="C1634" t="s">
        <v>16</v>
      </c>
      <c r="D1634" t="s">
        <v>1176</v>
      </c>
      <c r="E1634" t="s">
        <v>1799</v>
      </c>
      <c r="F1634" t="s">
        <v>1853</v>
      </c>
      <c r="G1634" t="s">
        <v>1862</v>
      </c>
      <c r="H1634" t="s">
        <v>1863</v>
      </c>
      <c r="J1634" t="s">
        <v>1867</v>
      </c>
    </row>
    <row r="1635" spans="1:10">
      <c r="A1635" s="1">
        <f>HYPERLINK("https://cms.ls-nyc.org/matter/dynamic-profile/view/1863811","18-1863811")</f>
        <v>0</v>
      </c>
      <c r="B1635" t="s">
        <v>10</v>
      </c>
      <c r="C1635" t="s">
        <v>16</v>
      </c>
      <c r="D1635" t="s">
        <v>1350</v>
      </c>
      <c r="E1635" t="s">
        <v>1800</v>
      </c>
      <c r="F1635" t="s">
        <v>1853</v>
      </c>
      <c r="G1635" t="s">
        <v>1862</v>
      </c>
      <c r="H1635" t="s">
        <v>1863</v>
      </c>
      <c r="J1635" t="s">
        <v>1867</v>
      </c>
    </row>
    <row r="1636" spans="1:10">
      <c r="A1636" s="1">
        <f>HYPERLINK("https://cms.ls-nyc.org/matter/dynamic-profile/view/1863822","18-1863822")</f>
        <v>0</v>
      </c>
      <c r="B1636" t="s">
        <v>10</v>
      </c>
      <c r="C1636" t="s">
        <v>16</v>
      </c>
      <c r="D1636" t="s">
        <v>1351</v>
      </c>
      <c r="E1636" t="s">
        <v>1799</v>
      </c>
      <c r="F1636" t="s">
        <v>1853</v>
      </c>
      <c r="G1636" t="s">
        <v>1862</v>
      </c>
      <c r="H1636" t="s">
        <v>1863</v>
      </c>
      <c r="J1636" t="s">
        <v>1867</v>
      </c>
    </row>
    <row r="1637" spans="1:10">
      <c r="A1637" s="1">
        <f>HYPERLINK("https://cms.ls-nyc.org/matter/dynamic-profile/view/1863832","18-1863832")</f>
        <v>0</v>
      </c>
      <c r="B1637" t="s">
        <v>10</v>
      </c>
      <c r="C1637" t="s">
        <v>16</v>
      </c>
      <c r="D1637" t="s">
        <v>1352</v>
      </c>
      <c r="E1637" t="s">
        <v>1800</v>
      </c>
      <c r="F1637" t="s">
        <v>1853</v>
      </c>
      <c r="G1637" t="s">
        <v>1862</v>
      </c>
      <c r="H1637" t="s">
        <v>1863</v>
      </c>
      <c r="I1637" t="s">
        <v>1865</v>
      </c>
      <c r="J1637" t="s">
        <v>1866</v>
      </c>
    </row>
    <row r="1638" spans="1:10">
      <c r="A1638" s="1">
        <f>HYPERLINK("https://cms.ls-nyc.org/matter/dynamic-profile/view/1863835","18-1863835")</f>
        <v>0</v>
      </c>
      <c r="B1638" t="s">
        <v>10</v>
      </c>
      <c r="C1638" t="s">
        <v>16</v>
      </c>
      <c r="D1638" t="s">
        <v>1353</v>
      </c>
      <c r="E1638" t="s">
        <v>1799</v>
      </c>
      <c r="F1638" t="s">
        <v>1853</v>
      </c>
      <c r="G1638" t="s">
        <v>1862</v>
      </c>
      <c r="H1638" t="s">
        <v>1863</v>
      </c>
      <c r="J1638" t="s">
        <v>1869</v>
      </c>
    </row>
    <row r="1639" spans="1:10">
      <c r="A1639" s="1">
        <f>HYPERLINK("https://cms.ls-nyc.org/matter/dynamic-profile/view/1863859","18-1863859")</f>
        <v>0</v>
      </c>
      <c r="B1639" t="s">
        <v>10</v>
      </c>
      <c r="C1639" t="s">
        <v>16</v>
      </c>
      <c r="D1639" t="s">
        <v>1354</v>
      </c>
      <c r="E1639" t="s">
        <v>1799</v>
      </c>
      <c r="F1639" t="s">
        <v>1853</v>
      </c>
      <c r="G1639" t="s">
        <v>1862</v>
      </c>
      <c r="H1639" t="s">
        <v>1863</v>
      </c>
      <c r="J1639" t="s">
        <v>1867</v>
      </c>
    </row>
    <row r="1640" spans="1:10">
      <c r="A1640" s="1">
        <f>HYPERLINK("https://cms.ls-nyc.org/matter/dynamic-profile/view/1863865","18-1863865")</f>
        <v>0</v>
      </c>
      <c r="B1640" t="s">
        <v>10</v>
      </c>
      <c r="C1640" t="s">
        <v>16</v>
      </c>
      <c r="D1640" t="s">
        <v>1355</v>
      </c>
      <c r="E1640" t="s">
        <v>1799</v>
      </c>
      <c r="F1640" t="s">
        <v>1853</v>
      </c>
      <c r="G1640" t="s">
        <v>1862</v>
      </c>
      <c r="H1640" t="s">
        <v>1863</v>
      </c>
      <c r="J1640" t="s">
        <v>1867</v>
      </c>
    </row>
    <row r="1641" spans="1:10">
      <c r="A1641" s="1">
        <f>HYPERLINK("https://cms.ls-nyc.org/matter/dynamic-profile/view/1863866","18-1863866")</f>
        <v>0</v>
      </c>
      <c r="B1641" t="s">
        <v>10</v>
      </c>
      <c r="C1641" t="s">
        <v>16</v>
      </c>
      <c r="D1641" t="s">
        <v>1356</v>
      </c>
      <c r="E1641" t="s">
        <v>1799</v>
      </c>
      <c r="F1641" t="s">
        <v>1853</v>
      </c>
      <c r="G1641" t="s">
        <v>1862</v>
      </c>
      <c r="H1641" t="s">
        <v>1864</v>
      </c>
      <c r="J1641" t="s">
        <v>1867</v>
      </c>
    </row>
    <row r="1642" spans="1:10">
      <c r="A1642" s="1">
        <f>HYPERLINK("https://cms.ls-nyc.org/matter/dynamic-profile/view/1863871","18-1863871")</f>
        <v>0</v>
      </c>
      <c r="B1642" t="s">
        <v>10</v>
      </c>
      <c r="C1642" t="s">
        <v>16</v>
      </c>
      <c r="D1642" t="s">
        <v>1357</v>
      </c>
      <c r="E1642" t="s">
        <v>1799</v>
      </c>
      <c r="F1642" t="s">
        <v>1853</v>
      </c>
      <c r="G1642" t="s">
        <v>1862</v>
      </c>
      <c r="H1642" t="s">
        <v>1863</v>
      </c>
      <c r="J1642" t="s">
        <v>1867</v>
      </c>
    </row>
    <row r="1643" spans="1:10">
      <c r="A1643" s="1">
        <f>HYPERLINK("https://cms.ls-nyc.org/matter/dynamic-profile/view/1863874","18-1863874")</f>
        <v>0</v>
      </c>
      <c r="B1643" t="s">
        <v>10</v>
      </c>
      <c r="C1643" t="s">
        <v>16</v>
      </c>
      <c r="D1643" t="s">
        <v>1358</v>
      </c>
      <c r="E1643" t="s">
        <v>1805</v>
      </c>
      <c r="F1643" t="s">
        <v>1853</v>
      </c>
      <c r="G1643" t="s">
        <v>1862</v>
      </c>
      <c r="H1643" t="s">
        <v>1863</v>
      </c>
      <c r="J1643" t="s">
        <v>1869</v>
      </c>
    </row>
    <row r="1644" spans="1:10">
      <c r="A1644" s="1">
        <f>HYPERLINK("https://cms.ls-nyc.org/matter/dynamic-profile/view/1863880","18-1863880")</f>
        <v>0</v>
      </c>
      <c r="B1644" t="s">
        <v>10</v>
      </c>
      <c r="C1644" t="s">
        <v>16</v>
      </c>
      <c r="D1644" t="s">
        <v>1359</v>
      </c>
      <c r="E1644" t="s">
        <v>1825</v>
      </c>
      <c r="F1644" t="s">
        <v>1858</v>
      </c>
      <c r="G1644" t="s">
        <v>1862</v>
      </c>
      <c r="H1644" t="s">
        <v>1863</v>
      </c>
      <c r="J1644" t="s">
        <v>1868</v>
      </c>
    </row>
    <row r="1645" spans="1:10">
      <c r="A1645" s="1">
        <f>HYPERLINK("https://cms.ls-nyc.org/matter/dynamic-profile/view/1863882","18-1863882")</f>
        <v>0</v>
      </c>
      <c r="B1645" t="s">
        <v>10</v>
      </c>
      <c r="C1645" t="s">
        <v>16</v>
      </c>
      <c r="D1645" t="s">
        <v>1360</v>
      </c>
      <c r="E1645" t="s">
        <v>1805</v>
      </c>
      <c r="F1645" t="s">
        <v>1853</v>
      </c>
      <c r="G1645" t="s">
        <v>1862</v>
      </c>
      <c r="H1645" t="s">
        <v>1863</v>
      </c>
      <c r="J1645" t="s">
        <v>1869</v>
      </c>
    </row>
    <row r="1646" spans="1:10">
      <c r="A1646" s="1">
        <f>HYPERLINK("https://cms.ls-nyc.org/matter/dynamic-profile/view/1863888","18-1863888")</f>
        <v>0</v>
      </c>
      <c r="B1646" t="s">
        <v>10</v>
      </c>
      <c r="C1646" t="s">
        <v>16</v>
      </c>
      <c r="D1646" t="s">
        <v>1361</v>
      </c>
      <c r="E1646" t="s">
        <v>1807</v>
      </c>
      <c r="F1646" t="s">
        <v>1853</v>
      </c>
      <c r="G1646" t="s">
        <v>1862</v>
      </c>
      <c r="H1646" t="s">
        <v>1863</v>
      </c>
      <c r="J1646" t="s">
        <v>1869</v>
      </c>
    </row>
    <row r="1647" spans="1:10">
      <c r="A1647" s="1">
        <f>HYPERLINK("https://cms.ls-nyc.org/matter/dynamic-profile/view/1863892","18-1863892")</f>
        <v>0</v>
      </c>
      <c r="B1647" t="s">
        <v>10</v>
      </c>
      <c r="C1647" t="s">
        <v>16</v>
      </c>
      <c r="D1647" t="s">
        <v>1204</v>
      </c>
      <c r="E1647" t="s">
        <v>1805</v>
      </c>
      <c r="F1647" t="s">
        <v>1853</v>
      </c>
      <c r="G1647" t="s">
        <v>1862</v>
      </c>
      <c r="H1647" t="s">
        <v>1863</v>
      </c>
      <c r="J1647" t="s">
        <v>1869</v>
      </c>
    </row>
    <row r="1648" spans="1:10">
      <c r="A1648" s="1">
        <f>HYPERLINK("https://cms.ls-nyc.org/matter/dynamic-profile/view/1863893","18-1863893")</f>
        <v>0</v>
      </c>
      <c r="B1648" t="s">
        <v>10</v>
      </c>
      <c r="C1648" t="s">
        <v>16</v>
      </c>
      <c r="D1648" t="s">
        <v>1183</v>
      </c>
      <c r="E1648" t="s">
        <v>1805</v>
      </c>
      <c r="F1648" t="s">
        <v>1853</v>
      </c>
      <c r="G1648" t="s">
        <v>1862</v>
      </c>
      <c r="H1648" t="s">
        <v>1863</v>
      </c>
      <c r="J1648" t="s">
        <v>1869</v>
      </c>
    </row>
    <row r="1649" spans="1:10">
      <c r="A1649" s="1">
        <f>HYPERLINK("https://cms.ls-nyc.org/matter/dynamic-profile/view/1863895","18-1863895")</f>
        <v>0</v>
      </c>
      <c r="B1649" t="s">
        <v>10</v>
      </c>
      <c r="C1649" t="s">
        <v>16</v>
      </c>
      <c r="D1649" t="s">
        <v>1173</v>
      </c>
      <c r="E1649" t="s">
        <v>1805</v>
      </c>
      <c r="F1649" t="s">
        <v>1853</v>
      </c>
      <c r="G1649" t="s">
        <v>1862</v>
      </c>
      <c r="J1649" t="s">
        <v>1869</v>
      </c>
    </row>
    <row r="1650" spans="1:10">
      <c r="A1650" s="1">
        <f>HYPERLINK("https://cms.ls-nyc.org/matter/dynamic-profile/view/1863671","18-1863671")</f>
        <v>0</v>
      </c>
      <c r="B1650" t="s">
        <v>12</v>
      </c>
      <c r="C1650" t="s">
        <v>49</v>
      </c>
      <c r="D1650" t="s">
        <v>1362</v>
      </c>
      <c r="E1650" t="s">
        <v>1800</v>
      </c>
      <c r="F1650" t="s">
        <v>1853</v>
      </c>
      <c r="G1650" t="s">
        <v>1862</v>
      </c>
      <c r="H1650" t="s">
        <v>1863</v>
      </c>
      <c r="J1650" t="s">
        <v>1867</v>
      </c>
    </row>
    <row r="1651" spans="1:10">
      <c r="A1651" s="1">
        <f>HYPERLINK("https://cms.ls-nyc.org/matter/dynamic-profile/view/1863676","18-1863676")</f>
        <v>0</v>
      </c>
      <c r="B1651" t="s">
        <v>14</v>
      </c>
      <c r="C1651" t="s">
        <v>42</v>
      </c>
      <c r="D1651" t="s">
        <v>1026</v>
      </c>
      <c r="E1651" t="s">
        <v>1816</v>
      </c>
      <c r="F1651" t="s">
        <v>1853</v>
      </c>
      <c r="G1651" t="s">
        <v>1862</v>
      </c>
      <c r="H1651" t="s">
        <v>1863</v>
      </c>
      <c r="J1651" t="s">
        <v>1867</v>
      </c>
    </row>
    <row r="1652" spans="1:10">
      <c r="A1652" s="1">
        <f>HYPERLINK("https://cms.ls-nyc.org/matter/dynamic-profile/view/1863632","18-1863632")</f>
        <v>0</v>
      </c>
      <c r="B1652" t="s">
        <v>12</v>
      </c>
      <c r="C1652" t="s">
        <v>40</v>
      </c>
      <c r="D1652" t="s">
        <v>1363</v>
      </c>
      <c r="G1652" t="s">
        <v>1862</v>
      </c>
      <c r="J1652" t="s">
        <v>1866</v>
      </c>
    </row>
    <row r="1653" spans="1:10">
      <c r="A1653" s="1">
        <f>HYPERLINK("https://cms.ls-nyc.org/matter/dynamic-profile/view/1863665","18-1863665")</f>
        <v>0</v>
      </c>
      <c r="B1653" t="s">
        <v>12</v>
      </c>
      <c r="C1653" t="s">
        <v>49</v>
      </c>
      <c r="D1653" t="s">
        <v>1264</v>
      </c>
      <c r="E1653" t="s">
        <v>1821</v>
      </c>
      <c r="G1653" t="s">
        <v>1862</v>
      </c>
      <c r="I1653" t="s">
        <v>1865</v>
      </c>
      <c r="J1653" t="s">
        <v>1866</v>
      </c>
    </row>
    <row r="1654" spans="1:10">
      <c r="A1654" s="1">
        <f>HYPERLINK("https://cms.ls-nyc.org/matter/dynamic-profile/view/1863683","18-1863683")</f>
        <v>0</v>
      </c>
      <c r="B1654" t="s">
        <v>14</v>
      </c>
      <c r="C1654" t="s">
        <v>42</v>
      </c>
      <c r="D1654" t="s">
        <v>1027</v>
      </c>
      <c r="E1654" t="s">
        <v>1816</v>
      </c>
      <c r="F1654" t="s">
        <v>1853</v>
      </c>
      <c r="G1654" t="s">
        <v>1862</v>
      </c>
      <c r="H1654" t="s">
        <v>1863</v>
      </c>
      <c r="J1654" t="s">
        <v>1867</v>
      </c>
    </row>
    <row r="1655" spans="1:10">
      <c r="A1655" s="1">
        <f>HYPERLINK("https://cms.ls-nyc.org/matter/dynamic-profile/view/1863688","18-1863688")</f>
        <v>0</v>
      </c>
      <c r="B1655" t="s">
        <v>14</v>
      </c>
      <c r="C1655" t="s">
        <v>42</v>
      </c>
      <c r="D1655" t="s">
        <v>1028</v>
      </c>
      <c r="E1655" t="s">
        <v>1816</v>
      </c>
      <c r="F1655" t="s">
        <v>1853</v>
      </c>
      <c r="G1655" t="s">
        <v>1862</v>
      </c>
      <c r="H1655" t="s">
        <v>1863</v>
      </c>
      <c r="J1655" t="s">
        <v>1867</v>
      </c>
    </row>
    <row r="1656" spans="1:10">
      <c r="A1656" s="1">
        <f>HYPERLINK("https://cms.ls-nyc.org/matter/dynamic-profile/view/1863734","18-1863734")</f>
        <v>0</v>
      </c>
      <c r="B1656" t="s">
        <v>12</v>
      </c>
      <c r="C1656" t="s">
        <v>33</v>
      </c>
      <c r="D1656" t="s">
        <v>182</v>
      </c>
      <c r="E1656" t="s">
        <v>1803</v>
      </c>
      <c r="F1656" t="s">
        <v>1855</v>
      </c>
      <c r="G1656" t="s">
        <v>1862</v>
      </c>
      <c r="H1656" t="s">
        <v>1863</v>
      </c>
      <c r="J1656" t="s">
        <v>1870</v>
      </c>
    </row>
    <row r="1657" spans="1:10">
      <c r="A1657" s="1">
        <f>HYPERLINK("https://cms.ls-nyc.org/matter/dynamic-profile/view/1863511","18-1863511")</f>
        <v>0</v>
      </c>
      <c r="B1657" t="s">
        <v>10</v>
      </c>
      <c r="C1657" t="s">
        <v>16</v>
      </c>
      <c r="D1657" t="s">
        <v>1364</v>
      </c>
      <c r="E1657" t="s">
        <v>1807</v>
      </c>
      <c r="F1657" t="s">
        <v>1853</v>
      </c>
      <c r="G1657" t="s">
        <v>1862</v>
      </c>
      <c r="H1657" t="s">
        <v>1863</v>
      </c>
      <c r="J1657" t="s">
        <v>1869</v>
      </c>
    </row>
    <row r="1658" spans="1:10">
      <c r="A1658" s="1">
        <f>HYPERLINK("https://cms.ls-nyc.org/matter/dynamic-profile/view/1863514","18-1863514")</f>
        <v>0</v>
      </c>
      <c r="B1658" t="s">
        <v>14</v>
      </c>
      <c r="C1658" t="s">
        <v>28</v>
      </c>
      <c r="D1658" t="s">
        <v>593</v>
      </c>
      <c r="E1658" t="s">
        <v>1809</v>
      </c>
      <c r="F1658" t="s">
        <v>1855</v>
      </c>
      <c r="G1658" t="s">
        <v>1862</v>
      </c>
      <c r="H1658" t="s">
        <v>1863</v>
      </c>
      <c r="J1658" t="s">
        <v>1871</v>
      </c>
    </row>
    <row r="1659" spans="1:10">
      <c r="A1659" s="1">
        <f>HYPERLINK("https://cms.ls-nyc.org/matter/dynamic-profile/view/1863550","18-1863550")</f>
        <v>0</v>
      </c>
      <c r="B1659" t="s">
        <v>10</v>
      </c>
      <c r="C1659" t="s">
        <v>16</v>
      </c>
      <c r="D1659" t="s">
        <v>1365</v>
      </c>
      <c r="E1659" t="s">
        <v>1815</v>
      </c>
      <c r="F1659" t="s">
        <v>1853</v>
      </c>
      <c r="G1659" t="s">
        <v>1862</v>
      </c>
      <c r="H1659" t="s">
        <v>1863</v>
      </c>
      <c r="J1659" t="s">
        <v>1867</v>
      </c>
    </row>
    <row r="1660" spans="1:10">
      <c r="A1660" s="1">
        <f>HYPERLINK("https://cms.ls-nyc.org/matter/dynamic-profile/view/1863561","18-1863561")</f>
        <v>0</v>
      </c>
      <c r="B1660" t="s">
        <v>10</v>
      </c>
      <c r="C1660" t="s">
        <v>16</v>
      </c>
      <c r="D1660" t="s">
        <v>1366</v>
      </c>
      <c r="E1660" t="s">
        <v>1815</v>
      </c>
      <c r="F1660" t="s">
        <v>1853</v>
      </c>
      <c r="G1660" t="s">
        <v>1862</v>
      </c>
      <c r="H1660" t="s">
        <v>1863</v>
      </c>
      <c r="J1660" t="s">
        <v>1867</v>
      </c>
    </row>
    <row r="1661" spans="1:10">
      <c r="A1661" s="1">
        <f>HYPERLINK("https://cms.ls-nyc.org/matter/dynamic-profile/view/1863582","18-1863582")</f>
        <v>0</v>
      </c>
      <c r="B1661" t="s">
        <v>10</v>
      </c>
      <c r="C1661" t="s">
        <v>16</v>
      </c>
      <c r="D1661" t="s">
        <v>1075</v>
      </c>
      <c r="E1661" t="s">
        <v>1815</v>
      </c>
      <c r="F1661" t="s">
        <v>1853</v>
      </c>
      <c r="G1661" t="s">
        <v>1862</v>
      </c>
      <c r="H1661" t="s">
        <v>1863</v>
      </c>
      <c r="J1661" t="s">
        <v>1867</v>
      </c>
    </row>
    <row r="1662" spans="1:10">
      <c r="A1662" s="1">
        <f>HYPERLINK("https://cms.ls-nyc.org/matter/dynamic-profile/view/1863585","18-1863585")</f>
        <v>0</v>
      </c>
      <c r="B1662" t="s">
        <v>10</v>
      </c>
      <c r="C1662" t="s">
        <v>16</v>
      </c>
      <c r="D1662" t="s">
        <v>1367</v>
      </c>
      <c r="E1662" t="s">
        <v>1821</v>
      </c>
      <c r="F1662" t="s">
        <v>1855</v>
      </c>
      <c r="G1662" t="s">
        <v>1862</v>
      </c>
      <c r="J1662" t="s">
        <v>1867</v>
      </c>
    </row>
    <row r="1663" spans="1:10">
      <c r="A1663" s="1">
        <f>HYPERLINK("https://cms.ls-nyc.org/matter/dynamic-profile/view/1863586","18-1863586")</f>
        <v>0</v>
      </c>
      <c r="B1663" t="s">
        <v>11</v>
      </c>
      <c r="C1663" t="s">
        <v>18</v>
      </c>
      <c r="D1663" t="s">
        <v>1221</v>
      </c>
      <c r="E1663" t="s">
        <v>1810</v>
      </c>
      <c r="F1663" t="s">
        <v>1853</v>
      </c>
      <c r="G1663" t="s">
        <v>1862</v>
      </c>
      <c r="H1663" t="s">
        <v>1863</v>
      </c>
      <c r="J1663" t="s">
        <v>1869</v>
      </c>
    </row>
    <row r="1664" spans="1:10">
      <c r="A1664" s="1">
        <f>HYPERLINK("https://cms.ls-nyc.org/matter/dynamic-profile/view/1863596","18-1863596")</f>
        <v>0</v>
      </c>
      <c r="B1664" t="s">
        <v>10</v>
      </c>
      <c r="C1664" t="s">
        <v>16</v>
      </c>
      <c r="D1664" t="s">
        <v>1368</v>
      </c>
      <c r="E1664" t="s">
        <v>1807</v>
      </c>
      <c r="F1664" t="s">
        <v>1853</v>
      </c>
      <c r="G1664" t="s">
        <v>1862</v>
      </c>
      <c r="J1664" t="s">
        <v>1869</v>
      </c>
    </row>
    <row r="1665" spans="1:10">
      <c r="A1665" s="1">
        <f>HYPERLINK("https://cms.ls-nyc.org/matter/dynamic-profile/view/1863378","18-1863378")</f>
        <v>0</v>
      </c>
      <c r="B1665" t="s">
        <v>12</v>
      </c>
      <c r="C1665" t="s">
        <v>49</v>
      </c>
      <c r="D1665" t="s">
        <v>1048</v>
      </c>
      <c r="E1665" t="s">
        <v>1813</v>
      </c>
      <c r="F1665" t="s">
        <v>1859</v>
      </c>
      <c r="G1665" t="s">
        <v>1862</v>
      </c>
      <c r="J1665" t="s">
        <v>1868</v>
      </c>
    </row>
    <row r="1666" spans="1:10">
      <c r="A1666" s="1">
        <f>HYPERLINK("https://cms.ls-nyc.org/matter/dynamic-profile/view/1863349","18-1863349")</f>
        <v>0</v>
      </c>
      <c r="B1666" t="s">
        <v>13</v>
      </c>
      <c r="C1666" t="s">
        <v>24</v>
      </c>
      <c r="D1666" t="s">
        <v>392</v>
      </c>
      <c r="E1666" t="s">
        <v>1809</v>
      </c>
      <c r="F1666" t="s">
        <v>1855</v>
      </c>
      <c r="G1666" t="s">
        <v>1862</v>
      </c>
      <c r="H1666" t="s">
        <v>1863</v>
      </c>
      <c r="J1666" t="s">
        <v>1871</v>
      </c>
    </row>
    <row r="1667" spans="1:10">
      <c r="A1667" s="1">
        <f>HYPERLINK("https://cms.ls-nyc.org/matter/dynamic-profile/view/1863445","18-1863445")</f>
        <v>0</v>
      </c>
      <c r="B1667" t="s">
        <v>10</v>
      </c>
      <c r="C1667" t="s">
        <v>16</v>
      </c>
      <c r="D1667" t="s">
        <v>1369</v>
      </c>
      <c r="E1667" t="s">
        <v>1815</v>
      </c>
      <c r="F1667" t="s">
        <v>1853</v>
      </c>
      <c r="G1667" t="s">
        <v>1862</v>
      </c>
      <c r="H1667" t="s">
        <v>1863</v>
      </c>
      <c r="J1667" t="s">
        <v>1869</v>
      </c>
    </row>
    <row r="1668" spans="1:10">
      <c r="A1668" s="1">
        <f>HYPERLINK("https://cms.ls-nyc.org/matter/dynamic-profile/view/1863446","18-1863446")</f>
        <v>0</v>
      </c>
      <c r="B1668" t="s">
        <v>10</v>
      </c>
      <c r="C1668" t="s">
        <v>16</v>
      </c>
      <c r="D1668" t="s">
        <v>1370</v>
      </c>
      <c r="E1668" t="s">
        <v>1815</v>
      </c>
      <c r="F1668" t="s">
        <v>1853</v>
      </c>
      <c r="G1668" t="s">
        <v>1862</v>
      </c>
      <c r="H1668" t="s">
        <v>1863</v>
      </c>
      <c r="J1668" t="s">
        <v>1867</v>
      </c>
    </row>
    <row r="1669" spans="1:10">
      <c r="A1669" s="1">
        <f>HYPERLINK("https://cms.ls-nyc.org/matter/dynamic-profile/view/1863502","18-1863502")</f>
        <v>0</v>
      </c>
      <c r="B1669" t="s">
        <v>10</v>
      </c>
      <c r="C1669" t="s">
        <v>16</v>
      </c>
      <c r="D1669" t="s">
        <v>1371</v>
      </c>
      <c r="E1669" t="s">
        <v>1819</v>
      </c>
      <c r="F1669" t="s">
        <v>1853</v>
      </c>
      <c r="G1669" t="s">
        <v>1862</v>
      </c>
      <c r="H1669" t="s">
        <v>1863</v>
      </c>
      <c r="J1669" t="s">
        <v>1867</v>
      </c>
    </row>
    <row r="1670" spans="1:10">
      <c r="A1670" s="1">
        <f>HYPERLINK("https://cms.ls-nyc.org/matter/dynamic-profile/view/1863293","18-1863293")</f>
        <v>0</v>
      </c>
      <c r="B1670" t="s">
        <v>14</v>
      </c>
      <c r="C1670" t="s">
        <v>28</v>
      </c>
      <c r="D1670" t="s">
        <v>1372</v>
      </c>
      <c r="E1670" t="s">
        <v>1841</v>
      </c>
      <c r="F1670" t="s">
        <v>1858</v>
      </c>
      <c r="G1670" t="s">
        <v>1862</v>
      </c>
      <c r="J1670" t="s">
        <v>1868</v>
      </c>
    </row>
    <row r="1671" spans="1:10">
      <c r="A1671" s="1">
        <f>HYPERLINK("https://cms.ls-nyc.org/matter/dynamic-profile/view/1863343","18-1863343")</f>
        <v>0</v>
      </c>
      <c r="B1671" t="s">
        <v>10</v>
      </c>
      <c r="C1671" t="s">
        <v>16</v>
      </c>
      <c r="D1671" t="s">
        <v>1373</v>
      </c>
      <c r="E1671" t="s">
        <v>1815</v>
      </c>
      <c r="F1671" t="s">
        <v>1853</v>
      </c>
      <c r="G1671" t="s">
        <v>1862</v>
      </c>
      <c r="H1671" t="s">
        <v>1863</v>
      </c>
      <c r="J1671" t="s">
        <v>1868</v>
      </c>
    </row>
    <row r="1672" spans="1:10">
      <c r="A1672" s="1">
        <f>HYPERLINK("https://cms.ls-nyc.org/matter/dynamic-profile/view/1851360","17-1851360")</f>
        <v>0</v>
      </c>
      <c r="B1672" t="s">
        <v>10</v>
      </c>
      <c r="C1672" t="s">
        <v>16</v>
      </c>
      <c r="D1672" t="s">
        <v>1374</v>
      </c>
      <c r="E1672" t="s">
        <v>1799</v>
      </c>
      <c r="F1672" t="s">
        <v>1853</v>
      </c>
      <c r="G1672" t="s">
        <v>1862</v>
      </c>
      <c r="J1672" t="s">
        <v>1867</v>
      </c>
    </row>
    <row r="1673" spans="1:10">
      <c r="A1673" s="1">
        <f>HYPERLINK("https://cms.ls-nyc.org/matter/dynamic-profile/view/1859554","18-1859554")</f>
        <v>0</v>
      </c>
      <c r="B1673" t="s">
        <v>13</v>
      </c>
      <c r="C1673" t="s">
        <v>43</v>
      </c>
      <c r="D1673" t="s">
        <v>763</v>
      </c>
      <c r="E1673" t="s">
        <v>1810</v>
      </c>
      <c r="F1673" t="s">
        <v>1853</v>
      </c>
      <c r="G1673" t="s">
        <v>1862</v>
      </c>
      <c r="H1673" t="s">
        <v>1863</v>
      </c>
      <c r="J1673" t="s">
        <v>1869</v>
      </c>
    </row>
    <row r="1674" spans="1:10">
      <c r="A1674" s="1">
        <f>HYPERLINK("https://cms.ls-nyc.org/matter/dynamic-profile/view/1863262","18-1863262")</f>
        <v>0</v>
      </c>
      <c r="B1674" t="s">
        <v>11</v>
      </c>
      <c r="C1674" t="s">
        <v>41</v>
      </c>
      <c r="D1674" t="s">
        <v>1375</v>
      </c>
      <c r="E1674" t="s">
        <v>1815</v>
      </c>
      <c r="G1674" t="s">
        <v>1862</v>
      </c>
      <c r="J1674" t="s">
        <v>1867</v>
      </c>
    </row>
    <row r="1675" spans="1:10">
      <c r="A1675" s="1">
        <f>HYPERLINK("https://cms.ls-nyc.org/matter/dynamic-profile/view/1863171","18-1863171")</f>
        <v>0</v>
      </c>
      <c r="B1675" t="s">
        <v>15</v>
      </c>
      <c r="C1675" t="s">
        <v>34</v>
      </c>
      <c r="D1675" t="s">
        <v>1376</v>
      </c>
      <c r="E1675" t="s">
        <v>1808</v>
      </c>
      <c r="F1675" t="s">
        <v>1857</v>
      </c>
      <c r="G1675" t="s">
        <v>1862</v>
      </c>
      <c r="H1675" t="s">
        <v>1863</v>
      </c>
      <c r="J1675" t="s">
        <v>1867</v>
      </c>
    </row>
    <row r="1676" spans="1:10">
      <c r="A1676" s="1">
        <f>HYPERLINK("https://cms.ls-nyc.org/matter/dynamic-profile/view/1863123","18-1863123")</f>
        <v>0</v>
      </c>
      <c r="B1676" t="s">
        <v>14</v>
      </c>
      <c r="C1676" t="s">
        <v>42</v>
      </c>
      <c r="D1676" t="s">
        <v>1377</v>
      </c>
      <c r="E1676" t="s">
        <v>1800</v>
      </c>
      <c r="F1676" t="s">
        <v>1853</v>
      </c>
      <c r="G1676" t="s">
        <v>1862</v>
      </c>
      <c r="H1676" t="s">
        <v>1863</v>
      </c>
      <c r="J1676" t="s">
        <v>1868</v>
      </c>
    </row>
    <row r="1677" spans="1:10">
      <c r="A1677" s="1">
        <f>HYPERLINK("https://cms.ls-nyc.org/matter/dynamic-profile/view/1862992","18-1862992")</f>
        <v>0</v>
      </c>
      <c r="B1677" t="s">
        <v>10</v>
      </c>
      <c r="C1677" t="s">
        <v>16</v>
      </c>
      <c r="D1677" t="s">
        <v>1378</v>
      </c>
      <c r="E1677" t="s">
        <v>1799</v>
      </c>
      <c r="F1677" t="s">
        <v>1853</v>
      </c>
      <c r="G1677" t="s">
        <v>1862</v>
      </c>
      <c r="J1677" t="s">
        <v>1867</v>
      </c>
    </row>
    <row r="1678" spans="1:10">
      <c r="A1678" s="1">
        <f>HYPERLINK("https://cms.ls-nyc.org/matter/dynamic-profile/view/1863035","18-1863035")</f>
        <v>0</v>
      </c>
      <c r="B1678" t="s">
        <v>10</v>
      </c>
      <c r="C1678" t="s">
        <v>41</v>
      </c>
      <c r="D1678" t="s">
        <v>1379</v>
      </c>
      <c r="E1678" t="s">
        <v>1815</v>
      </c>
      <c r="F1678" t="s">
        <v>1853</v>
      </c>
      <c r="G1678" t="s">
        <v>1862</v>
      </c>
      <c r="H1678" t="s">
        <v>1863</v>
      </c>
      <c r="J1678" t="s">
        <v>1867</v>
      </c>
    </row>
    <row r="1679" spans="1:10">
      <c r="A1679" s="1">
        <f>HYPERLINK("https://cms.ls-nyc.org/matter/dynamic-profile/view/1863361","18-1863361")</f>
        <v>0</v>
      </c>
      <c r="B1679" t="s">
        <v>13</v>
      </c>
      <c r="C1679" t="s">
        <v>43</v>
      </c>
      <c r="D1679" t="s">
        <v>1380</v>
      </c>
      <c r="E1679" t="s">
        <v>1818</v>
      </c>
      <c r="F1679" t="s">
        <v>1853</v>
      </c>
      <c r="G1679" t="s">
        <v>1862</v>
      </c>
      <c r="H1679" t="s">
        <v>1863</v>
      </c>
      <c r="J1679" t="s">
        <v>1869</v>
      </c>
    </row>
    <row r="1680" spans="1:10">
      <c r="A1680" s="1">
        <f>HYPERLINK("https://cms.ls-nyc.org/matter/dynamic-profile/view/1863362","18-1863362")</f>
        <v>0</v>
      </c>
      <c r="B1680" t="s">
        <v>13</v>
      </c>
      <c r="C1680" t="s">
        <v>43</v>
      </c>
      <c r="D1680" t="s">
        <v>1380</v>
      </c>
      <c r="E1680" t="s">
        <v>1805</v>
      </c>
      <c r="F1680" t="s">
        <v>1853</v>
      </c>
      <c r="G1680" t="s">
        <v>1862</v>
      </c>
      <c r="H1680" t="s">
        <v>1863</v>
      </c>
      <c r="J1680" t="s">
        <v>1869</v>
      </c>
    </row>
    <row r="1681" spans="1:10">
      <c r="A1681" s="1">
        <f>HYPERLINK("https://cms.ls-nyc.org/matter/dynamic-profile/view/1862932","18-1862932")</f>
        <v>0</v>
      </c>
      <c r="B1681" t="s">
        <v>10</v>
      </c>
      <c r="C1681" t="s">
        <v>16</v>
      </c>
      <c r="D1681" t="s">
        <v>1381</v>
      </c>
      <c r="E1681" t="s">
        <v>1807</v>
      </c>
      <c r="F1681" t="s">
        <v>1853</v>
      </c>
      <c r="G1681" t="s">
        <v>1862</v>
      </c>
      <c r="H1681" t="s">
        <v>1863</v>
      </c>
      <c r="J1681" t="s">
        <v>1869</v>
      </c>
    </row>
    <row r="1682" spans="1:10">
      <c r="A1682" s="1">
        <f>HYPERLINK("https://cms.ls-nyc.org/matter/dynamic-profile/view/1862880","18-1862880")</f>
        <v>0</v>
      </c>
      <c r="B1682" t="s">
        <v>11</v>
      </c>
      <c r="C1682" t="s">
        <v>41</v>
      </c>
      <c r="D1682" t="s">
        <v>1382</v>
      </c>
      <c r="E1682" t="s">
        <v>1815</v>
      </c>
      <c r="F1682" t="s">
        <v>1853</v>
      </c>
      <c r="G1682" t="s">
        <v>1862</v>
      </c>
      <c r="H1682" t="s">
        <v>1863</v>
      </c>
      <c r="J1682" t="s">
        <v>1867</v>
      </c>
    </row>
    <row r="1683" spans="1:10">
      <c r="A1683" s="1">
        <f>HYPERLINK("https://cms.ls-nyc.org/matter/dynamic-profile/view/1862913","18-1862913")</f>
        <v>0</v>
      </c>
      <c r="B1683" t="s">
        <v>15</v>
      </c>
      <c r="C1683" t="s">
        <v>27</v>
      </c>
      <c r="D1683" t="s">
        <v>1383</v>
      </c>
      <c r="E1683" t="s">
        <v>1809</v>
      </c>
      <c r="F1683" t="s">
        <v>1855</v>
      </c>
      <c r="G1683" t="s">
        <v>1862</v>
      </c>
      <c r="H1683" t="s">
        <v>1863</v>
      </c>
      <c r="J1683" t="s">
        <v>1871</v>
      </c>
    </row>
    <row r="1684" spans="1:10">
      <c r="A1684" s="1">
        <f>HYPERLINK("https://cms.ls-nyc.org/matter/dynamic-profile/view/1862936","18-1862936")</f>
        <v>0</v>
      </c>
      <c r="B1684" t="s">
        <v>12</v>
      </c>
      <c r="C1684" t="s">
        <v>49</v>
      </c>
      <c r="D1684" t="s">
        <v>1384</v>
      </c>
      <c r="E1684" t="s">
        <v>1816</v>
      </c>
      <c r="F1684" t="s">
        <v>1853</v>
      </c>
      <c r="G1684" t="s">
        <v>1862</v>
      </c>
      <c r="J1684" t="s">
        <v>1867</v>
      </c>
    </row>
    <row r="1685" spans="1:10">
      <c r="A1685" s="1">
        <f>HYPERLINK("https://cms.ls-nyc.org/matter/dynamic-profile/view/1862939","18-1862939")</f>
        <v>0</v>
      </c>
      <c r="B1685" t="s">
        <v>12</v>
      </c>
      <c r="C1685" t="s">
        <v>49</v>
      </c>
      <c r="D1685" t="s">
        <v>1384</v>
      </c>
      <c r="E1685" t="s">
        <v>1804</v>
      </c>
      <c r="F1685" t="s">
        <v>1853</v>
      </c>
      <c r="G1685" t="s">
        <v>1862</v>
      </c>
      <c r="J1685" t="s">
        <v>1867</v>
      </c>
    </row>
    <row r="1686" spans="1:10">
      <c r="A1686" s="1">
        <f>HYPERLINK("https://cms.ls-nyc.org/matter/dynamic-profile/view/1862941","18-1862941")</f>
        <v>0</v>
      </c>
      <c r="B1686" t="s">
        <v>12</v>
      </c>
      <c r="C1686" t="s">
        <v>49</v>
      </c>
      <c r="D1686" t="s">
        <v>1384</v>
      </c>
      <c r="E1686" t="s">
        <v>1838</v>
      </c>
      <c r="F1686" t="s">
        <v>1853</v>
      </c>
      <c r="G1686" t="s">
        <v>1862</v>
      </c>
      <c r="J1686" t="s">
        <v>1867</v>
      </c>
    </row>
    <row r="1687" spans="1:10">
      <c r="A1687" s="1">
        <f>HYPERLINK("https://cms.ls-nyc.org/matter/dynamic-profile/view/1862674","18-1862674")</f>
        <v>0</v>
      </c>
      <c r="B1687" t="s">
        <v>14</v>
      </c>
      <c r="C1687" t="s">
        <v>28</v>
      </c>
      <c r="D1687" t="s">
        <v>387</v>
      </c>
      <c r="E1687" t="s">
        <v>1809</v>
      </c>
      <c r="F1687" t="s">
        <v>1855</v>
      </c>
      <c r="G1687" t="s">
        <v>1862</v>
      </c>
      <c r="H1687" t="s">
        <v>1863</v>
      </c>
      <c r="J1687" t="s">
        <v>1871</v>
      </c>
    </row>
    <row r="1688" spans="1:10">
      <c r="A1688" s="1">
        <f>HYPERLINK("https://cms.ls-nyc.org/matter/dynamic-profile/view/1862547","18-1862547")</f>
        <v>0</v>
      </c>
      <c r="B1688" t="s">
        <v>15</v>
      </c>
      <c r="C1688" t="s">
        <v>35</v>
      </c>
      <c r="D1688" t="s">
        <v>1385</v>
      </c>
      <c r="G1688" t="s">
        <v>1862</v>
      </c>
      <c r="J1688" t="s">
        <v>1868</v>
      </c>
    </row>
    <row r="1689" spans="1:10">
      <c r="A1689" s="1">
        <f>HYPERLINK("https://cms.ls-nyc.org/matter/dynamic-profile/view/1862604","18-1862604")</f>
        <v>0</v>
      </c>
      <c r="B1689" t="s">
        <v>14</v>
      </c>
      <c r="C1689" t="s">
        <v>42</v>
      </c>
      <c r="D1689" t="s">
        <v>1386</v>
      </c>
      <c r="E1689" t="s">
        <v>1819</v>
      </c>
      <c r="F1689" t="s">
        <v>1853</v>
      </c>
      <c r="G1689" t="s">
        <v>1862</v>
      </c>
      <c r="H1689" t="s">
        <v>1863</v>
      </c>
      <c r="J1689" t="s">
        <v>1867</v>
      </c>
    </row>
    <row r="1690" spans="1:10">
      <c r="A1690" s="1">
        <f>HYPERLINK("https://cms.ls-nyc.org/matter/dynamic-profile/view/1862653","18-1862653")</f>
        <v>0</v>
      </c>
      <c r="B1690" t="s">
        <v>11</v>
      </c>
      <c r="C1690" t="s">
        <v>38</v>
      </c>
      <c r="D1690" t="s">
        <v>1387</v>
      </c>
      <c r="E1690" t="s">
        <v>1810</v>
      </c>
      <c r="F1690" t="s">
        <v>1853</v>
      </c>
      <c r="G1690" t="s">
        <v>1862</v>
      </c>
      <c r="J1690" t="s">
        <v>1869</v>
      </c>
    </row>
    <row r="1691" spans="1:10">
      <c r="A1691" s="1">
        <f>HYPERLINK("https://cms.ls-nyc.org/matter/dynamic-profile/view/1862665","18-1862665")</f>
        <v>0</v>
      </c>
      <c r="B1691" t="s">
        <v>10</v>
      </c>
      <c r="C1691" t="s">
        <v>16</v>
      </c>
      <c r="D1691" t="s">
        <v>1388</v>
      </c>
      <c r="E1691" t="s">
        <v>1809</v>
      </c>
      <c r="F1691" t="s">
        <v>1853</v>
      </c>
      <c r="G1691" t="s">
        <v>1862</v>
      </c>
      <c r="H1691" t="s">
        <v>1863</v>
      </c>
      <c r="J1691" t="s">
        <v>1869</v>
      </c>
    </row>
    <row r="1692" spans="1:10">
      <c r="A1692" s="1">
        <f>HYPERLINK("https://cms.ls-nyc.org/matter/dynamic-profile/view/1863166","18-1863166")</f>
        <v>0</v>
      </c>
      <c r="B1692" t="s">
        <v>10</v>
      </c>
      <c r="C1692" t="s">
        <v>16</v>
      </c>
      <c r="D1692" t="s">
        <v>1244</v>
      </c>
      <c r="E1692" t="s">
        <v>1814</v>
      </c>
      <c r="F1692" t="s">
        <v>1853</v>
      </c>
      <c r="G1692" t="s">
        <v>1862</v>
      </c>
      <c r="H1692" t="s">
        <v>1863</v>
      </c>
      <c r="J1692" t="s">
        <v>1869</v>
      </c>
    </row>
    <row r="1693" spans="1:10">
      <c r="A1693" s="1">
        <f>HYPERLINK("https://cms.ls-nyc.org/matter/dynamic-profile/view/1862507","18-1862507")</f>
        <v>0</v>
      </c>
      <c r="B1693" t="s">
        <v>11</v>
      </c>
      <c r="C1693" t="s">
        <v>32</v>
      </c>
      <c r="D1693" t="s">
        <v>1389</v>
      </c>
      <c r="E1693" t="s">
        <v>1816</v>
      </c>
      <c r="F1693" t="s">
        <v>1856</v>
      </c>
      <c r="G1693" t="s">
        <v>1862</v>
      </c>
      <c r="H1693" t="s">
        <v>1863</v>
      </c>
      <c r="J1693" t="s">
        <v>1868</v>
      </c>
    </row>
    <row r="1694" spans="1:10">
      <c r="A1694" s="1">
        <f>HYPERLINK("https://cms.ls-nyc.org/matter/dynamic-profile/view/1862438","18-1862438")</f>
        <v>0</v>
      </c>
      <c r="B1694" t="s">
        <v>10</v>
      </c>
      <c r="C1694" t="s">
        <v>16</v>
      </c>
      <c r="D1694" t="s">
        <v>1260</v>
      </c>
      <c r="E1694" t="s">
        <v>1810</v>
      </c>
      <c r="F1694" t="s">
        <v>1853</v>
      </c>
      <c r="G1694" t="s">
        <v>1862</v>
      </c>
      <c r="H1694" t="s">
        <v>1863</v>
      </c>
      <c r="J1694" t="s">
        <v>1869</v>
      </c>
    </row>
    <row r="1695" spans="1:10">
      <c r="A1695" s="1">
        <f>HYPERLINK("https://cms.ls-nyc.org/matter/dynamic-profile/view/1862464","18-1862464")</f>
        <v>0</v>
      </c>
      <c r="B1695" t="s">
        <v>14</v>
      </c>
      <c r="C1695" t="s">
        <v>42</v>
      </c>
      <c r="D1695" t="s">
        <v>1390</v>
      </c>
      <c r="E1695" t="s">
        <v>1825</v>
      </c>
      <c r="F1695" t="s">
        <v>1853</v>
      </c>
      <c r="G1695" t="s">
        <v>1862</v>
      </c>
      <c r="H1695" t="s">
        <v>1863</v>
      </c>
      <c r="J1695" t="s">
        <v>1867</v>
      </c>
    </row>
    <row r="1696" spans="1:10">
      <c r="A1696" s="1">
        <f>HYPERLINK("https://cms.ls-nyc.org/matter/dynamic-profile/view/1862300","18-1862300")</f>
        <v>0</v>
      </c>
      <c r="B1696" t="s">
        <v>14</v>
      </c>
      <c r="C1696" t="s">
        <v>42</v>
      </c>
      <c r="D1696" t="s">
        <v>1391</v>
      </c>
      <c r="E1696" t="s">
        <v>1807</v>
      </c>
      <c r="F1696" t="s">
        <v>1858</v>
      </c>
      <c r="G1696" t="s">
        <v>1862</v>
      </c>
      <c r="H1696" t="s">
        <v>1863</v>
      </c>
      <c r="I1696" t="s">
        <v>1865</v>
      </c>
      <c r="J1696" t="s">
        <v>1866</v>
      </c>
    </row>
    <row r="1697" spans="1:10">
      <c r="A1697" s="1">
        <f>HYPERLINK("https://cms.ls-nyc.org/matter/dynamic-profile/view/1862360","18-1862360")</f>
        <v>0</v>
      </c>
      <c r="B1697" t="s">
        <v>11</v>
      </c>
      <c r="C1697" t="s">
        <v>32</v>
      </c>
      <c r="D1697" t="s">
        <v>1392</v>
      </c>
      <c r="E1697" t="s">
        <v>1804</v>
      </c>
      <c r="F1697" t="s">
        <v>1853</v>
      </c>
      <c r="G1697" t="s">
        <v>1862</v>
      </c>
      <c r="H1697" t="s">
        <v>1863</v>
      </c>
      <c r="J1697" t="s">
        <v>1869</v>
      </c>
    </row>
    <row r="1698" spans="1:10">
      <c r="A1698" s="1">
        <f>HYPERLINK("https://cms.ls-nyc.org/matter/dynamic-profile/view/1862354","18-1862354")</f>
        <v>0</v>
      </c>
      <c r="B1698" t="s">
        <v>15</v>
      </c>
      <c r="C1698" t="s">
        <v>27</v>
      </c>
      <c r="D1698" t="s">
        <v>1393</v>
      </c>
      <c r="E1698" t="s">
        <v>1804</v>
      </c>
      <c r="F1698" t="s">
        <v>1853</v>
      </c>
      <c r="G1698" t="s">
        <v>1862</v>
      </c>
      <c r="H1698" t="s">
        <v>1863</v>
      </c>
      <c r="J1698" t="s">
        <v>1867</v>
      </c>
    </row>
    <row r="1699" spans="1:10">
      <c r="A1699" s="1">
        <f>HYPERLINK("https://cms.ls-nyc.org/matter/dynamic-profile/view/1862390","18-1862390")</f>
        <v>0</v>
      </c>
      <c r="B1699" t="s">
        <v>11</v>
      </c>
      <c r="C1699" t="s">
        <v>23</v>
      </c>
      <c r="D1699" t="s">
        <v>1394</v>
      </c>
      <c r="E1699" t="s">
        <v>1810</v>
      </c>
      <c r="G1699" t="s">
        <v>1862</v>
      </c>
      <c r="J1699" t="s">
        <v>1868</v>
      </c>
    </row>
    <row r="1700" spans="1:10">
      <c r="A1700" s="1">
        <f>HYPERLINK("https://cms.ls-nyc.org/matter/dynamic-profile/view/1862287","18-1862287")</f>
        <v>0</v>
      </c>
      <c r="B1700" t="s">
        <v>11</v>
      </c>
      <c r="C1700" t="s">
        <v>18</v>
      </c>
      <c r="D1700" t="s">
        <v>1395</v>
      </c>
      <c r="E1700" t="s">
        <v>1800</v>
      </c>
      <c r="F1700" t="s">
        <v>1853</v>
      </c>
      <c r="G1700" t="s">
        <v>1862</v>
      </c>
      <c r="H1700" t="s">
        <v>1863</v>
      </c>
      <c r="J1700" t="s">
        <v>1867</v>
      </c>
    </row>
    <row r="1701" spans="1:10">
      <c r="A1701" s="1">
        <f>HYPERLINK("https://cms.ls-nyc.org/matter/dynamic-profile/view/1862393","18-1862393")</f>
        <v>0</v>
      </c>
      <c r="B1701" t="s">
        <v>15</v>
      </c>
      <c r="C1701" t="s">
        <v>27</v>
      </c>
      <c r="D1701" t="s">
        <v>1396</v>
      </c>
      <c r="E1701" t="s">
        <v>1828</v>
      </c>
      <c r="F1701" t="s">
        <v>1853</v>
      </c>
      <c r="G1701" t="s">
        <v>1862</v>
      </c>
      <c r="H1701" t="s">
        <v>1863</v>
      </c>
      <c r="J1701" t="s">
        <v>1869</v>
      </c>
    </row>
    <row r="1702" spans="1:10">
      <c r="A1702" s="1">
        <f>HYPERLINK("https://cms.ls-nyc.org/matter/dynamic-profile/view/1862395","18-1862395")</f>
        <v>0</v>
      </c>
      <c r="B1702" t="s">
        <v>10</v>
      </c>
      <c r="C1702" t="s">
        <v>16</v>
      </c>
      <c r="D1702" t="s">
        <v>1397</v>
      </c>
      <c r="E1702" t="s">
        <v>1810</v>
      </c>
      <c r="F1702" t="s">
        <v>1853</v>
      </c>
      <c r="G1702" t="s">
        <v>1862</v>
      </c>
      <c r="H1702" t="s">
        <v>1863</v>
      </c>
      <c r="J1702" t="s">
        <v>1869</v>
      </c>
    </row>
    <row r="1703" spans="1:10">
      <c r="A1703" s="1">
        <f>HYPERLINK("https://cms.ls-nyc.org/matter/dynamic-profile/view/1862399","18-1862399")</f>
        <v>0</v>
      </c>
      <c r="B1703" t="s">
        <v>10</v>
      </c>
      <c r="C1703" t="s">
        <v>16</v>
      </c>
      <c r="D1703" t="s">
        <v>1398</v>
      </c>
      <c r="E1703" t="s">
        <v>1810</v>
      </c>
      <c r="F1703" t="s">
        <v>1853</v>
      </c>
      <c r="G1703" t="s">
        <v>1862</v>
      </c>
      <c r="H1703" t="s">
        <v>1863</v>
      </c>
      <c r="J1703" t="s">
        <v>1869</v>
      </c>
    </row>
    <row r="1704" spans="1:10">
      <c r="A1704" s="1">
        <f>HYPERLINK("https://cms.ls-nyc.org/matter/dynamic-profile/view/1862051","18-1862051")</f>
        <v>0</v>
      </c>
      <c r="B1704" t="s">
        <v>11</v>
      </c>
      <c r="C1704" t="s">
        <v>32</v>
      </c>
      <c r="D1704" t="s">
        <v>1399</v>
      </c>
      <c r="E1704" t="s">
        <v>1809</v>
      </c>
      <c r="F1704" t="s">
        <v>1859</v>
      </c>
      <c r="G1704" t="s">
        <v>1862</v>
      </c>
      <c r="H1704" t="s">
        <v>1863</v>
      </c>
      <c r="J1704" t="s">
        <v>1868</v>
      </c>
    </row>
    <row r="1705" spans="1:10">
      <c r="A1705" s="1">
        <f>HYPERLINK("https://cms.ls-nyc.org/matter/dynamic-profile/view/1861618","18-1861618")</f>
        <v>0</v>
      </c>
      <c r="B1705" t="s">
        <v>13</v>
      </c>
      <c r="C1705" t="s">
        <v>43</v>
      </c>
      <c r="D1705" t="s">
        <v>1400</v>
      </c>
      <c r="E1705" t="s">
        <v>1809</v>
      </c>
      <c r="F1705" t="s">
        <v>1855</v>
      </c>
      <c r="G1705" t="s">
        <v>1862</v>
      </c>
      <c r="H1705" t="s">
        <v>1863</v>
      </c>
      <c r="J1705" t="s">
        <v>1870</v>
      </c>
    </row>
    <row r="1706" spans="1:10">
      <c r="A1706" s="1">
        <f>HYPERLINK("https://cms.ls-nyc.org/matter/dynamic-profile/view/1861630","18-1861630")</f>
        <v>0</v>
      </c>
      <c r="B1706" t="s">
        <v>13</v>
      </c>
      <c r="C1706" t="s">
        <v>43</v>
      </c>
      <c r="D1706" t="s">
        <v>1380</v>
      </c>
      <c r="E1706" t="s">
        <v>1809</v>
      </c>
      <c r="F1706" t="s">
        <v>1855</v>
      </c>
      <c r="G1706" t="s">
        <v>1862</v>
      </c>
      <c r="J1706" t="s">
        <v>1870</v>
      </c>
    </row>
    <row r="1707" spans="1:10">
      <c r="A1707" s="1">
        <f>HYPERLINK("https://cms.ls-nyc.org/matter/dynamic-profile/view/1861640","18-1861640")</f>
        <v>0</v>
      </c>
      <c r="B1707" t="s">
        <v>13</v>
      </c>
      <c r="C1707" t="s">
        <v>43</v>
      </c>
      <c r="D1707" t="s">
        <v>1401</v>
      </c>
      <c r="E1707" t="s">
        <v>1809</v>
      </c>
      <c r="F1707" t="s">
        <v>1855</v>
      </c>
      <c r="G1707" t="s">
        <v>1862</v>
      </c>
      <c r="H1707" t="s">
        <v>1863</v>
      </c>
      <c r="J1707" t="s">
        <v>1870</v>
      </c>
    </row>
    <row r="1708" spans="1:10">
      <c r="A1708" s="1">
        <f>HYPERLINK("https://cms.ls-nyc.org/matter/dynamic-profile/view/1861647","18-1861647")</f>
        <v>0</v>
      </c>
      <c r="B1708" t="s">
        <v>13</v>
      </c>
      <c r="C1708" t="s">
        <v>43</v>
      </c>
      <c r="D1708" t="s">
        <v>1267</v>
      </c>
      <c r="E1708" t="s">
        <v>1809</v>
      </c>
      <c r="F1708" t="s">
        <v>1855</v>
      </c>
      <c r="G1708" t="s">
        <v>1862</v>
      </c>
      <c r="J1708" t="s">
        <v>1870</v>
      </c>
    </row>
    <row r="1709" spans="1:10">
      <c r="A1709" s="1">
        <f>HYPERLINK("https://cms.ls-nyc.org/matter/dynamic-profile/view/1861652","18-1861652")</f>
        <v>0</v>
      </c>
      <c r="B1709" t="s">
        <v>13</v>
      </c>
      <c r="C1709" t="s">
        <v>43</v>
      </c>
      <c r="D1709" t="s">
        <v>1256</v>
      </c>
      <c r="E1709" t="s">
        <v>1809</v>
      </c>
      <c r="F1709" t="s">
        <v>1855</v>
      </c>
      <c r="G1709" t="s">
        <v>1862</v>
      </c>
      <c r="J1709" t="s">
        <v>1870</v>
      </c>
    </row>
    <row r="1710" spans="1:10">
      <c r="A1710" s="1">
        <f>HYPERLINK("https://cms.ls-nyc.org/matter/dynamic-profile/view/1861656","18-1861656")</f>
        <v>0</v>
      </c>
      <c r="B1710" t="s">
        <v>13</v>
      </c>
      <c r="C1710" t="s">
        <v>43</v>
      </c>
      <c r="D1710" t="s">
        <v>1257</v>
      </c>
      <c r="E1710" t="s">
        <v>1809</v>
      </c>
      <c r="F1710" t="s">
        <v>1855</v>
      </c>
      <c r="G1710" t="s">
        <v>1862</v>
      </c>
      <c r="J1710" t="s">
        <v>1870</v>
      </c>
    </row>
    <row r="1711" spans="1:10">
      <c r="A1711" s="1">
        <f>HYPERLINK("https://cms.ls-nyc.org/matter/dynamic-profile/view/1861659","18-1861659")</f>
        <v>0</v>
      </c>
      <c r="B1711" t="s">
        <v>13</v>
      </c>
      <c r="C1711" t="s">
        <v>43</v>
      </c>
      <c r="D1711" t="s">
        <v>1255</v>
      </c>
      <c r="E1711" t="s">
        <v>1809</v>
      </c>
      <c r="F1711" t="s">
        <v>1855</v>
      </c>
      <c r="G1711" t="s">
        <v>1862</v>
      </c>
      <c r="J1711" t="s">
        <v>1870</v>
      </c>
    </row>
    <row r="1712" spans="1:10">
      <c r="A1712" s="1">
        <f>HYPERLINK("https://cms.ls-nyc.org/matter/dynamic-profile/view/1862050","18-1862050")</f>
        <v>0</v>
      </c>
      <c r="B1712" t="s">
        <v>11</v>
      </c>
      <c r="C1712" t="s">
        <v>32</v>
      </c>
      <c r="D1712" t="s">
        <v>1399</v>
      </c>
      <c r="E1712" t="s">
        <v>1805</v>
      </c>
      <c r="G1712" t="s">
        <v>1862</v>
      </c>
      <c r="J1712" t="s">
        <v>1869</v>
      </c>
    </row>
    <row r="1713" spans="1:10">
      <c r="A1713" s="1">
        <f>HYPERLINK("https://cms.ls-nyc.org/matter/dynamic-profile/view/1861902","18-1861902")</f>
        <v>0</v>
      </c>
      <c r="B1713" t="s">
        <v>12</v>
      </c>
      <c r="C1713" t="s">
        <v>49</v>
      </c>
      <c r="D1713" t="s">
        <v>1402</v>
      </c>
      <c r="E1713" t="s">
        <v>1816</v>
      </c>
      <c r="F1713" t="s">
        <v>1853</v>
      </c>
      <c r="G1713" t="s">
        <v>1862</v>
      </c>
      <c r="J1713" t="s">
        <v>1867</v>
      </c>
    </row>
    <row r="1714" spans="1:10">
      <c r="A1714" s="1">
        <f>HYPERLINK("https://cms.ls-nyc.org/matter/dynamic-profile/view/1861876","18-1861876")</f>
        <v>0</v>
      </c>
      <c r="B1714" t="s">
        <v>11</v>
      </c>
      <c r="C1714" t="s">
        <v>52</v>
      </c>
      <c r="D1714" t="s">
        <v>1403</v>
      </c>
      <c r="F1714" t="s">
        <v>1858</v>
      </c>
      <c r="G1714" t="s">
        <v>1862</v>
      </c>
      <c r="H1714" t="s">
        <v>1864</v>
      </c>
      <c r="J1714" t="s">
        <v>1868</v>
      </c>
    </row>
    <row r="1715" spans="1:10">
      <c r="A1715" s="1">
        <f>HYPERLINK("https://cms.ls-nyc.org/matter/dynamic-profile/view/1858565","18-1858565")</f>
        <v>0</v>
      </c>
      <c r="B1715" t="s">
        <v>13</v>
      </c>
      <c r="C1715" t="s">
        <v>29</v>
      </c>
      <c r="D1715" t="s">
        <v>1404</v>
      </c>
      <c r="E1715" t="s">
        <v>1803</v>
      </c>
      <c r="F1715" t="s">
        <v>1855</v>
      </c>
      <c r="G1715" t="s">
        <v>1862</v>
      </c>
      <c r="H1715" t="s">
        <v>1863</v>
      </c>
      <c r="J1715" t="s">
        <v>1871</v>
      </c>
    </row>
    <row r="1716" spans="1:10">
      <c r="A1716" s="1">
        <f>HYPERLINK("https://cms.ls-nyc.org/matter/dynamic-profile/view/1862005","18-1862005")</f>
        <v>0</v>
      </c>
      <c r="B1716" t="s">
        <v>10</v>
      </c>
      <c r="C1716" t="s">
        <v>16</v>
      </c>
      <c r="D1716" t="s">
        <v>1405</v>
      </c>
      <c r="E1716" t="s">
        <v>1807</v>
      </c>
      <c r="F1716" t="s">
        <v>1853</v>
      </c>
      <c r="G1716" t="s">
        <v>1862</v>
      </c>
      <c r="H1716" t="s">
        <v>1863</v>
      </c>
      <c r="J1716" t="s">
        <v>1869</v>
      </c>
    </row>
    <row r="1717" spans="1:10">
      <c r="A1717" s="1">
        <f>HYPERLINK("https://cms.ls-nyc.org/matter/dynamic-profile/view/1861849","18-1861849")</f>
        <v>0</v>
      </c>
      <c r="B1717" t="s">
        <v>14</v>
      </c>
      <c r="C1717" t="s">
        <v>28</v>
      </c>
      <c r="D1717" t="s">
        <v>1406</v>
      </c>
      <c r="E1717" t="s">
        <v>1821</v>
      </c>
      <c r="F1717" t="s">
        <v>1858</v>
      </c>
      <c r="G1717" t="s">
        <v>1862</v>
      </c>
      <c r="H1717" t="s">
        <v>1863</v>
      </c>
      <c r="J1717" t="s">
        <v>1868</v>
      </c>
    </row>
    <row r="1718" spans="1:10">
      <c r="A1718" s="1">
        <f>HYPERLINK("https://cms.ls-nyc.org/matter/dynamic-profile/view/1861675","18-1861675")</f>
        <v>0</v>
      </c>
      <c r="B1718" t="s">
        <v>15</v>
      </c>
      <c r="C1718" t="s">
        <v>59</v>
      </c>
      <c r="D1718" t="s">
        <v>1407</v>
      </c>
      <c r="E1718" t="s">
        <v>1799</v>
      </c>
      <c r="F1718" t="s">
        <v>1853</v>
      </c>
      <c r="G1718" t="s">
        <v>1862</v>
      </c>
      <c r="H1718" t="s">
        <v>1863</v>
      </c>
      <c r="J1718" t="s">
        <v>1867</v>
      </c>
    </row>
    <row r="1719" spans="1:10">
      <c r="A1719" s="1">
        <f>HYPERLINK("https://cms.ls-nyc.org/matter/dynamic-profile/view/1861608","18-1861608")</f>
        <v>0</v>
      </c>
      <c r="B1719" t="s">
        <v>12</v>
      </c>
      <c r="C1719" t="s">
        <v>21</v>
      </c>
      <c r="D1719" t="s">
        <v>296</v>
      </c>
      <c r="E1719" t="s">
        <v>1809</v>
      </c>
      <c r="F1719" t="s">
        <v>1855</v>
      </c>
      <c r="G1719" t="s">
        <v>1862</v>
      </c>
      <c r="H1719" t="s">
        <v>1863</v>
      </c>
      <c r="J1719" t="s">
        <v>1869</v>
      </c>
    </row>
    <row r="1720" spans="1:10">
      <c r="A1720" s="1">
        <f>HYPERLINK("https://cms.ls-nyc.org/matter/dynamic-profile/view/1861653","18-1861653")</f>
        <v>0</v>
      </c>
      <c r="B1720" t="s">
        <v>15</v>
      </c>
      <c r="C1720" t="s">
        <v>59</v>
      </c>
      <c r="D1720" t="s">
        <v>1408</v>
      </c>
      <c r="E1720" t="s">
        <v>1821</v>
      </c>
      <c r="F1720" t="s">
        <v>1853</v>
      </c>
      <c r="G1720" t="s">
        <v>1862</v>
      </c>
      <c r="H1720" t="s">
        <v>1863</v>
      </c>
      <c r="J1720" t="s">
        <v>1867</v>
      </c>
    </row>
    <row r="1721" spans="1:10">
      <c r="A1721" s="1">
        <f>HYPERLINK("https://cms.ls-nyc.org/matter/dynamic-profile/view/1861709","18-1861709")</f>
        <v>0</v>
      </c>
      <c r="B1721" t="s">
        <v>10</v>
      </c>
      <c r="C1721" t="s">
        <v>20</v>
      </c>
      <c r="D1721" t="s">
        <v>1409</v>
      </c>
      <c r="E1721" t="s">
        <v>1809</v>
      </c>
      <c r="F1721" t="s">
        <v>1855</v>
      </c>
      <c r="G1721" t="s">
        <v>1862</v>
      </c>
      <c r="H1721" t="s">
        <v>1863</v>
      </c>
      <c r="J1721" t="s">
        <v>1871</v>
      </c>
    </row>
    <row r="1722" spans="1:10">
      <c r="A1722" s="1">
        <f>HYPERLINK("https://cms.ls-nyc.org/matter/dynamic-profile/view/1861575","18-1861575")</f>
        <v>0</v>
      </c>
      <c r="B1722" t="s">
        <v>15</v>
      </c>
      <c r="C1722" t="s">
        <v>59</v>
      </c>
      <c r="D1722" t="s">
        <v>1410</v>
      </c>
      <c r="E1722" t="s">
        <v>1805</v>
      </c>
      <c r="F1722" t="s">
        <v>1853</v>
      </c>
      <c r="G1722" t="s">
        <v>1862</v>
      </c>
      <c r="H1722" t="s">
        <v>1863</v>
      </c>
      <c r="J1722" t="s">
        <v>1869</v>
      </c>
    </row>
    <row r="1723" spans="1:10">
      <c r="A1723" s="1">
        <f>HYPERLINK("https://cms.ls-nyc.org/matter/dynamic-profile/view/1861520","18-1861520")</f>
        <v>0</v>
      </c>
      <c r="B1723" t="s">
        <v>10</v>
      </c>
      <c r="C1723" t="s">
        <v>16</v>
      </c>
      <c r="D1723" t="s">
        <v>1411</v>
      </c>
      <c r="E1723" t="s">
        <v>1815</v>
      </c>
      <c r="F1723" t="s">
        <v>1853</v>
      </c>
      <c r="G1723" t="s">
        <v>1862</v>
      </c>
      <c r="H1723" t="s">
        <v>1863</v>
      </c>
      <c r="I1723" t="s">
        <v>1865</v>
      </c>
      <c r="J1723" t="s">
        <v>1866</v>
      </c>
    </row>
    <row r="1724" spans="1:10">
      <c r="A1724" s="1">
        <f>HYPERLINK("https://cms.ls-nyc.org/matter/dynamic-profile/view/1861530","18-1861530")</f>
        <v>0</v>
      </c>
      <c r="B1724" t="s">
        <v>12</v>
      </c>
      <c r="C1724" t="s">
        <v>49</v>
      </c>
      <c r="D1724" t="s">
        <v>433</v>
      </c>
      <c r="E1724" t="s">
        <v>1819</v>
      </c>
      <c r="F1724" t="s">
        <v>1853</v>
      </c>
      <c r="G1724" t="s">
        <v>1862</v>
      </c>
      <c r="J1724" t="s">
        <v>1867</v>
      </c>
    </row>
    <row r="1725" spans="1:10">
      <c r="A1725" s="1">
        <f>HYPERLINK("https://cms.ls-nyc.org/matter/dynamic-profile/view/1861605","18-1861605")</f>
        <v>0</v>
      </c>
      <c r="B1725" t="s">
        <v>11</v>
      </c>
      <c r="C1725" t="s">
        <v>18</v>
      </c>
      <c r="D1725" t="s">
        <v>1412</v>
      </c>
      <c r="E1725" t="s">
        <v>1808</v>
      </c>
      <c r="F1725" t="s">
        <v>1857</v>
      </c>
      <c r="G1725" t="s">
        <v>1862</v>
      </c>
      <c r="H1725" t="s">
        <v>1863</v>
      </c>
      <c r="J1725" t="s">
        <v>1867</v>
      </c>
    </row>
    <row r="1726" spans="1:10">
      <c r="A1726" s="1">
        <f>HYPERLINK("https://cms.ls-nyc.org/matter/dynamic-profile/view/1861464","18-1861464")</f>
        <v>0</v>
      </c>
      <c r="B1726" t="s">
        <v>10</v>
      </c>
      <c r="C1726" t="s">
        <v>16</v>
      </c>
      <c r="D1726" t="s">
        <v>1413</v>
      </c>
      <c r="E1726" t="s">
        <v>1810</v>
      </c>
      <c r="F1726" t="s">
        <v>1858</v>
      </c>
      <c r="G1726" t="s">
        <v>1862</v>
      </c>
      <c r="J1726" t="s">
        <v>1868</v>
      </c>
    </row>
    <row r="1727" spans="1:10">
      <c r="A1727" s="1">
        <f>HYPERLINK("https://cms.ls-nyc.org/matter/dynamic-profile/view/1861467","18-1861467")</f>
        <v>0</v>
      </c>
      <c r="B1727" t="s">
        <v>12</v>
      </c>
      <c r="C1727" t="s">
        <v>49</v>
      </c>
      <c r="D1727" t="s">
        <v>1414</v>
      </c>
      <c r="E1727" t="s">
        <v>1800</v>
      </c>
      <c r="F1727" t="s">
        <v>1853</v>
      </c>
      <c r="G1727" t="s">
        <v>1862</v>
      </c>
      <c r="J1727" t="s">
        <v>1867</v>
      </c>
    </row>
    <row r="1728" spans="1:10">
      <c r="A1728" s="1">
        <f>HYPERLINK("https://cms.ls-nyc.org/matter/dynamic-profile/view/1861376","18-1861376")</f>
        <v>0</v>
      </c>
      <c r="B1728" t="s">
        <v>12</v>
      </c>
      <c r="C1728" t="s">
        <v>49</v>
      </c>
      <c r="D1728" t="s">
        <v>1415</v>
      </c>
      <c r="E1728" t="s">
        <v>1815</v>
      </c>
      <c r="F1728" t="s">
        <v>1853</v>
      </c>
      <c r="G1728" t="s">
        <v>1862</v>
      </c>
      <c r="J1728" t="s">
        <v>1867</v>
      </c>
    </row>
    <row r="1729" spans="1:10">
      <c r="A1729" s="1">
        <f>HYPERLINK("https://cms.ls-nyc.org/matter/dynamic-profile/view/1861380","18-1861380")</f>
        <v>0</v>
      </c>
      <c r="B1729" t="s">
        <v>12</v>
      </c>
      <c r="C1729" t="s">
        <v>49</v>
      </c>
      <c r="D1729" t="s">
        <v>1415</v>
      </c>
      <c r="E1729" t="s">
        <v>1799</v>
      </c>
      <c r="F1729" t="s">
        <v>1853</v>
      </c>
      <c r="G1729" t="s">
        <v>1862</v>
      </c>
      <c r="J1729" t="s">
        <v>1867</v>
      </c>
    </row>
    <row r="1730" spans="1:10">
      <c r="A1730" s="1">
        <f>HYPERLINK("https://cms.ls-nyc.org/matter/dynamic-profile/view/1861399","18-1861399")</f>
        <v>0</v>
      </c>
      <c r="B1730" t="s">
        <v>14</v>
      </c>
      <c r="C1730" t="s">
        <v>28</v>
      </c>
      <c r="D1730" t="s">
        <v>903</v>
      </c>
      <c r="E1730" t="s">
        <v>1809</v>
      </c>
      <c r="F1730" t="s">
        <v>1855</v>
      </c>
      <c r="G1730" t="s">
        <v>1862</v>
      </c>
      <c r="H1730" t="s">
        <v>1863</v>
      </c>
      <c r="J1730" t="s">
        <v>1871</v>
      </c>
    </row>
    <row r="1731" spans="1:10">
      <c r="A1731" s="1">
        <f>HYPERLINK("https://cms.ls-nyc.org/matter/dynamic-profile/view/1861407","18-1861407")</f>
        <v>0</v>
      </c>
      <c r="B1731" t="s">
        <v>14</v>
      </c>
      <c r="C1731" t="s">
        <v>28</v>
      </c>
      <c r="D1731" t="s">
        <v>1167</v>
      </c>
      <c r="E1731" t="s">
        <v>1809</v>
      </c>
      <c r="F1731" t="s">
        <v>1855</v>
      </c>
      <c r="G1731" t="s">
        <v>1862</v>
      </c>
      <c r="J1731" t="s">
        <v>1870</v>
      </c>
    </row>
    <row r="1732" spans="1:10">
      <c r="A1732" s="1">
        <f>HYPERLINK("https://cms.ls-nyc.org/matter/dynamic-profile/view/1861462","18-1861462")</f>
        <v>0</v>
      </c>
      <c r="B1732" t="s">
        <v>10</v>
      </c>
      <c r="C1732" t="s">
        <v>16</v>
      </c>
      <c r="D1732" t="s">
        <v>1243</v>
      </c>
      <c r="E1732" t="s">
        <v>1814</v>
      </c>
      <c r="F1732" t="s">
        <v>1853</v>
      </c>
      <c r="G1732" t="s">
        <v>1862</v>
      </c>
      <c r="H1732" t="s">
        <v>1863</v>
      </c>
      <c r="J1732" t="s">
        <v>1869</v>
      </c>
    </row>
    <row r="1733" spans="1:10">
      <c r="A1733" s="1">
        <f>HYPERLINK("https://cms.ls-nyc.org/matter/dynamic-profile/view/1863372","18-1863372")</f>
        <v>0</v>
      </c>
      <c r="B1733" t="s">
        <v>10</v>
      </c>
      <c r="C1733" t="s">
        <v>16</v>
      </c>
      <c r="D1733" t="s">
        <v>107</v>
      </c>
      <c r="E1733" t="s">
        <v>1845</v>
      </c>
      <c r="F1733" t="s">
        <v>1853</v>
      </c>
      <c r="G1733" t="s">
        <v>1862</v>
      </c>
      <c r="H1733" t="s">
        <v>1864</v>
      </c>
      <c r="J1733" t="s">
        <v>1867</v>
      </c>
    </row>
    <row r="1734" spans="1:10">
      <c r="A1734" s="1">
        <f>HYPERLINK("https://cms.ls-nyc.org/matter/dynamic-profile/view/1861308","18-1861308")</f>
        <v>0</v>
      </c>
      <c r="B1734" t="s">
        <v>14</v>
      </c>
      <c r="C1734" t="s">
        <v>26</v>
      </c>
      <c r="D1734" t="s">
        <v>1416</v>
      </c>
      <c r="E1734" t="s">
        <v>1812</v>
      </c>
      <c r="F1734" t="s">
        <v>1858</v>
      </c>
      <c r="G1734" t="s">
        <v>1862</v>
      </c>
      <c r="H1734" t="s">
        <v>1863</v>
      </c>
      <c r="J1734" t="s">
        <v>1868</v>
      </c>
    </row>
    <row r="1735" spans="1:10">
      <c r="A1735" s="1">
        <f>HYPERLINK("https://cms.ls-nyc.org/matter/dynamic-profile/view/1861341","18-1861341")</f>
        <v>0</v>
      </c>
      <c r="B1735" t="s">
        <v>12</v>
      </c>
      <c r="C1735" t="s">
        <v>40</v>
      </c>
      <c r="D1735" t="s">
        <v>324</v>
      </c>
      <c r="E1735" t="s">
        <v>1815</v>
      </c>
      <c r="F1735" t="s">
        <v>1853</v>
      </c>
      <c r="G1735" t="s">
        <v>1862</v>
      </c>
      <c r="H1735" t="s">
        <v>1863</v>
      </c>
      <c r="J1735" t="s">
        <v>1867</v>
      </c>
    </row>
    <row r="1736" spans="1:10">
      <c r="A1736" s="1">
        <f>HYPERLINK("https://cms.ls-nyc.org/matter/dynamic-profile/view/1861317","18-1861317")</f>
        <v>0</v>
      </c>
      <c r="B1736" t="s">
        <v>11</v>
      </c>
      <c r="C1736" t="s">
        <v>18</v>
      </c>
      <c r="D1736" t="s">
        <v>1417</v>
      </c>
      <c r="E1736" t="s">
        <v>1800</v>
      </c>
      <c r="F1736" t="s">
        <v>1853</v>
      </c>
      <c r="G1736" t="s">
        <v>1862</v>
      </c>
      <c r="H1736" t="s">
        <v>1863</v>
      </c>
      <c r="J1736" t="s">
        <v>1867</v>
      </c>
    </row>
    <row r="1737" spans="1:10">
      <c r="A1737" s="1">
        <f>HYPERLINK("https://cms.ls-nyc.org/matter/dynamic-profile/view/1861325","18-1861325")</f>
        <v>0</v>
      </c>
      <c r="B1737" t="s">
        <v>10</v>
      </c>
      <c r="C1737" t="s">
        <v>16</v>
      </c>
      <c r="D1737" t="s">
        <v>1358</v>
      </c>
      <c r="E1737" t="s">
        <v>1827</v>
      </c>
      <c r="F1737" t="s">
        <v>1853</v>
      </c>
      <c r="G1737" t="s">
        <v>1862</v>
      </c>
      <c r="H1737" t="s">
        <v>1863</v>
      </c>
      <c r="J1737" t="s">
        <v>1869</v>
      </c>
    </row>
    <row r="1738" spans="1:10">
      <c r="A1738" s="1">
        <f>HYPERLINK("https://cms.ls-nyc.org/matter/dynamic-profile/view/1862021","18-1862021")</f>
        <v>0</v>
      </c>
      <c r="B1738" t="s">
        <v>11</v>
      </c>
      <c r="C1738" t="s">
        <v>60</v>
      </c>
      <c r="D1738" t="s">
        <v>1418</v>
      </c>
      <c r="E1738" t="s">
        <v>1800</v>
      </c>
      <c r="G1738" t="s">
        <v>1862</v>
      </c>
      <c r="H1738" t="s">
        <v>1864</v>
      </c>
      <c r="J1738" t="s">
        <v>1867</v>
      </c>
    </row>
    <row r="1739" spans="1:10">
      <c r="A1739" s="1">
        <f>HYPERLINK("https://cms.ls-nyc.org/matter/dynamic-profile/view/1861614","18-1861614")</f>
        <v>0</v>
      </c>
      <c r="B1739" t="s">
        <v>13</v>
      </c>
      <c r="C1739" t="s">
        <v>43</v>
      </c>
      <c r="D1739" t="s">
        <v>1419</v>
      </c>
      <c r="E1739" t="s">
        <v>1803</v>
      </c>
      <c r="F1739" t="s">
        <v>1855</v>
      </c>
      <c r="G1739" t="s">
        <v>1862</v>
      </c>
      <c r="H1739" t="s">
        <v>1863</v>
      </c>
      <c r="J1739" t="s">
        <v>1870</v>
      </c>
    </row>
    <row r="1740" spans="1:10">
      <c r="A1740" s="1">
        <f>HYPERLINK("https://cms.ls-nyc.org/matter/dynamic-profile/view/1861304","18-1861304")</f>
        <v>0</v>
      </c>
      <c r="B1740" t="s">
        <v>14</v>
      </c>
      <c r="C1740" t="s">
        <v>26</v>
      </c>
      <c r="D1740" t="s">
        <v>1416</v>
      </c>
      <c r="E1740" t="s">
        <v>1812</v>
      </c>
      <c r="F1740" t="s">
        <v>1858</v>
      </c>
      <c r="G1740" t="s">
        <v>1862</v>
      </c>
      <c r="H1740" t="s">
        <v>1863</v>
      </c>
      <c r="J1740" t="s">
        <v>1868</v>
      </c>
    </row>
    <row r="1741" spans="1:10">
      <c r="A1741" s="1">
        <f>HYPERLINK("https://cms.ls-nyc.org/matter/dynamic-profile/view/1861320","18-1861320")</f>
        <v>0</v>
      </c>
      <c r="B1741" t="s">
        <v>14</v>
      </c>
      <c r="C1741" t="s">
        <v>26</v>
      </c>
      <c r="D1741" t="s">
        <v>1416</v>
      </c>
      <c r="E1741" t="s">
        <v>1812</v>
      </c>
      <c r="F1741" t="s">
        <v>1858</v>
      </c>
      <c r="G1741" t="s">
        <v>1862</v>
      </c>
      <c r="H1741" t="s">
        <v>1863</v>
      </c>
      <c r="J1741" t="s">
        <v>1868</v>
      </c>
    </row>
    <row r="1742" spans="1:10">
      <c r="A1742" s="1">
        <f>HYPERLINK("https://cms.ls-nyc.org/matter/dynamic-profile/view/1860963","18-1860963")</f>
        <v>0</v>
      </c>
      <c r="B1742" t="s">
        <v>12</v>
      </c>
      <c r="C1742" t="s">
        <v>49</v>
      </c>
      <c r="D1742" t="s">
        <v>1384</v>
      </c>
      <c r="E1742" t="s">
        <v>1821</v>
      </c>
      <c r="F1742" t="s">
        <v>1853</v>
      </c>
      <c r="G1742" t="s">
        <v>1862</v>
      </c>
      <c r="J1742" t="s">
        <v>1867</v>
      </c>
    </row>
    <row r="1743" spans="1:10">
      <c r="A1743" s="1">
        <f>HYPERLINK("https://cms.ls-nyc.org/matter/dynamic-profile/view/1860914","18-1860914")</f>
        <v>0</v>
      </c>
      <c r="B1743" t="s">
        <v>12</v>
      </c>
      <c r="C1743" t="s">
        <v>49</v>
      </c>
      <c r="D1743" t="s">
        <v>1402</v>
      </c>
      <c r="E1743" t="s">
        <v>1821</v>
      </c>
      <c r="F1743" t="s">
        <v>1853</v>
      </c>
      <c r="G1743" t="s">
        <v>1862</v>
      </c>
      <c r="J1743" t="s">
        <v>1867</v>
      </c>
    </row>
    <row r="1744" spans="1:10">
      <c r="A1744" s="1">
        <f>HYPERLINK("https://cms.ls-nyc.org/matter/dynamic-profile/view/1860867","18-1860867")</f>
        <v>0</v>
      </c>
      <c r="B1744" t="s">
        <v>15</v>
      </c>
      <c r="C1744" t="s">
        <v>59</v>
      </c>
      <c r="D1744" t="s">
        <v>1420</v>
      </c>
      <c r="E1744" t="s">
        <v>1800</v>
      </c>
      <c r="F1744" t="s">
        <v>1858</v>
      </c>
      <c r="G1744" t="s">
        <v>1862</v>
      </c>
      <c r="H1744" t="s">
        <v>1864</v>
      </c>
      <c r="J1744" t="s">
        <v>1868</v>
      </c>
    </row>
    <row r="1745" spans="1:10">
      <c r="A1745" s="1">
        <f>HYPERLINK("https://cms.ls-nyc.org/matter/dynamic-profile/view/1860902","18-1860902")</f>
        <v>0</v>
      </c>
      <c r="B1745" t="s">
        <v>10</v>
      </c>
      <c r="C1745" t="s">
        <v>17</v>
      </c>
      <c r="D1745" t="s">
        <v>1421</v>
      </c>
      <c r="E1745" t="s">
        <v>1815</v>
      </c>
      <c r="F1745" t="s">
        <v>1858</v>
      </c>
      <c r="G1745" t="s">
        <v>1862</v>
      </c>
      <c r="H1745" t="s">
        <v>1863</v>
      </c>
      <c r="J1745" t="s">
        <v>1868</v>
      </c>
    </row>
    <row r="1746" spans="1:10">
      <c r="A1746" s="1">
        <f>HYPERLINK("https://cms.ls-nyc.org/matter/dynamic-profile/view/1860861","18-1860861")</f>
        <v>0</v>
      </c>
      <c r="B1746" t="s">
        <v>10</v>
      </c>
      <c r="C1746" t="s">
        <v>16</v>
      </c>
      <c r="D1746" t="s">
        <v>1272</v>
      </c>
      <c r="E1746" t="s">
        <v>1814</v>
      </c>
      <c r="F1746" t="s">
        <v>1853</v>
      </c>
      <c r="G1746" t="s">
        <v>1862</v>
      </c>
      <c r="H1746" t="s">
        <v>1863</v>
      </c>
      <c r="J1746" t="s">
        <v>1869</v>
      </c>
    </row>
    <row r="1747" spans="1:10">
      <c r="A1747" s="1">
        <f>HYPERLINK("https://cms.ls-nyc.org/matter/dynamic-profile/view/1860918","18-1860918")</f>
        <v>0</v>
      </c>
      <c r="B1747" t="s">
        <v>11</v>
      </c>
      <c r="C1747" t="s">
        <v>41</v>
      </c>
      <c r="D1747" t="s">
        <v>1422</v>
      </c>
      <c r="E1747" t="s">
        <v>1815</v>
      </c>
      <c r="F1747" t="s">
        <v>1859</v>
      </c>
      <c r="G1747" t="s">
        <v>1862</v>
      </c>
      <c r="J1747" t="s">
        <v>1868</v>
      </c>
    </row>
    <row r="1748" spans="1:10">
      <c r="A1748" s="1">
        <f>HYPERLINK("https://cms.ls-nyc.org/matter/dynamic-profile/view/1860952","18-1860952")</f>
        <v>0</v>
      </c>
      <c r="B1748" t="s">
        <v>11</v>
      </c>
      <c r="C1748" t="s">
        <v>38</v>
      </c>
      <c r="D1748" t="s">
        <v>1423</v>
      </c>
      <c r="E1748" t="s">
        <v>1809</v>
      </c>
      <c r="F1748" t="s">
        <v>1855</v>
      </c>
      <c r="G1748" t="s">
        <v>1862</v>
      </c>
      <c r="H1748" t="s">
        <v>1863</v>
      </c>
      <c r="J1748" t="s">
        <v>1871</v>
      </c>
    </row>
    <row r="1749" spans="1:10">
      <c r="A1749" s="1">
        <f>HYPERLINK("https://cms.ls-nyc.org/matter/dynamic-profile/view/1860754","18-1860754")</f>
        <v>0</v>
      </c>
      <c r="B1749" t="s">
        <v>12</v>
      </c>
      <c r="C1749" t="s">
        <v>40</v>
      </c>
      <c r="D1749" t="s">
        <v>1424</v>
      </c>
      <c r="E1749" t="s">
        <v>1812</v>
      </c>
      <c r="F1749" t="s">
        <v>1853</v>
      </c>
      <c r="G1749" t="s">
        <v>1862</v>
      </c>
      <c r="H1749" t="s">
        <v>1863</v>
      </c>
      <c r="J1749" t="s">
        <v>1867</v>
      </c>
    </row>
    <row r="1750" spans="1:10">
      <c r="A1750" s="1">
        <f>HYPERLINK("https://cms.ls-nyc.org/matter/dynamic-profile/view/1860829","18-1860829")</f>
        <v>0</v>
      </c>
      <c r="B1750" t="s">
        <v>15</v>
      </c>
      <c r="C1750" t="s">
        <v>59</v>
      </c>
      <c r="D1750" t="s">
        <v>1425</v>
      </c>
      <c r="E1750" t="s">
        <v>1821</v>
      </c>
      <c r="F1750" t="s">
        <v>1858</v>
      </c>
      <c r="G1750" t="s">
        <v>1862</v>
      </c>
      <c r="H1750" t="s">
        <v>1864</v>
      </c>
      <c r="J1750" t="s">
        <v>1868</v>
      </c>
    </row>
    <row r="1751" spans="1:10">
      <c r="A1751" s="1">
        <f>HYPERLINK("https://cms.ls-nyc.org/matter/dynamic-profile/view/1860795","18-1860795")</f>
        <v>0</v>
      </c>
      <c r="B1751" t="s">
        <v>14</v>
      </c>
      <c r="C1751" t="s">
        <v>28</v>
      </c>
      <c r="D1751" t="s">
        <v>1426</v>
      </c>
      <c r="E1751" t="s">
        <v>1823</v>
      </c>
      <c r="F1751" t="s">
        <v>1859</v>
      </c>
      <c r="G1751" t="s">
        <v>1862</v>
      </c>
      <c r="H1751" t="s">
        <v>1864</v>
      </c>
      <c r="J1751" t="s">
        <v>1868</v>
      </c>
    </row>
    <row r="1752" spans="1:10">
      <c r="A1752" s="1">
        <f>HYPERLINK("https://cms.ls-nyc.org/matter/dynamic-profile/view/1860734","18-1860734")</f>
        <v>0</v>
      </c>
      <c r="B1752" t="s">
        <v>15</v>
      </c>
      <c r="C1752" t="s">
        <v>27</v>
      </c>
      <c r="D1752" t="s">
        <v>1345</v>
      </c>
      <c r="E1752" t="s">
        <v>1803</v>
      </c>
      <c r="F1752" t="s">
        <v>1855</v>
      </c>
      <c r="G1752" t="s">
        <v>1862</v>
      </c>
      <c r="H1752" t="s">
        <v>1863</v>
      </c>
      <c r="J1752" t="s">
        <v>1871</v>
      </c>
    </row>
    <row r="1753" spans="1:10">
      <c r="A1753" s="1">
        <f>HYPERLINK("https://cms.ls-nyc.org/matter/dynamic-profile/view/1860786","18-1860786")</f>
        <v>0</v>
      </c>
      <c r="B1753" t="s">
        <v>15</v>
      </c>
      <c r="C1753" t="s">
        <v>27</v>
      </c>
      <c r="D1753" t="s">
        <v>1427</v>
      </c>
      <c r="E1753" t="s">
        <v>1823</v>
      </c>
      <c r="F1753" t="s">
        <v>1853</v>
      </c>
      <c r="G1753" t="s">
        <v>1862</v>
      </c>
      <c r="H1753" t="s">
        <v>1863</v>
      </c>
      <c r="J1753" t="s">
        <v>1867</v>
      </c>
    </row>
    <row r="1754" spans="1:10">
      <c r="A1754" s="1">
        <f>HYPERLINK("https://cms.ls-nyc.org/matter/dynamic-profile/view/1860854","18-1860854")</f>
        <v>0</v>
      </c>
      <c r="B1754" t="s">
        <v>10</v>
      </c>
      <c r="C1754" t="s">
        <v>16</v>
      </c>
      <c r="D1754" t="s">
        <v>1428</v>
      </c>
      <c r="E1754" t="s">
        <v>1807</v>
      </c>
      <c r="F1754" t="s">
        <v>1853</v>
      </c>
      <c r="G1754" t="s">
        <v>1862</v>
      </c>
      <c r="H1754" t="s">
        <v>1863</v>
      </c>
      <c r="J1754" t="s">
        <v>1869</v>
      </c>
    </row>
    <row r="1755" spans="1:10">
      <c r="A1755" s="1">
        <f>HYPERLINK("https://cms.ls-nyc.org/matter/dynamic-profile/view/1860613","18-1860613")</f>
        <v>0</v>
      </c>
      <c r="B1755" t="s">
        <v>10</v>
      </c>
      <c r="C1755" t="s">
        <v>16</v>
      </c>
      <c r="D1755" t="s">
        <v>1429</v>
      </c>
      <c r="E1755" t="s">
        <v>1807</v>
      </c>
      <c r="F1755" t="s">
        <v>1853</v>
      </c>
      <c r="G1755" t="s">
        <v>1862</v>
      </c>
      <c r="H1755" t="s">
        <v>1863</v>
      </c>
      <c r="J1755" t="s">
        <v>1869</v>
      </c>
    </row>
    <row r="1756" spans="1:10">
      <c r="A1756" s="1">
        <f>HYPERLINK("https://cms.ls-nyc.org/matter/dynamic-profile/view/1860643","18-1860643")</f>
        <v>0</v>
      </c>
      <c r="B1756" t="s">
        <v>11</v>
      </c>
      <c r="C1756" t="s">
        <v>38</v>
      </c>
      <c r="D1756" t="s">
        <v>1430</v>
      </c>
      <c r="E1756" t="s">
        <v>1816</v>
      </c>
      <c r="F1756" t="s">
        <v>1859</v>
      </c>
      <c r="G1756" t="s">
        <v>1862</v>
      </c>
      <c r="H1756" t="s">
        <v>1864</v>
      </c>
      <c r="J1756" t="s">
        <v>1868</v>
      </c>
    </row>
    <row r="1757" spans="1:10">
      <c r="A1757" s="1">
        <f>HYPERLINK("https://cms.ls-nyc.org/matter/dynamic-profile/view/1860655","18-1860655")</f>
        <v>0</v>
      </c>
      <c r="B1757" t="s">
        <v>13</v>
      </c>
      <c r="C1757" t="s">
        <v>22</v>
      </c>
      <c r="D1757" t="s">
        <v>1431</v>
      </c>
      <c r="E1757" t="s">
        <v>1807</v>
      </c>
      <c r="F1757" t="s">
        <v>1853</v>
      </c>
      <c r="G1757" t="s">
        <v>1862</v>
      </c>
      <c r="H1757" t="s">
        <v>1863</v>
      </c>
      <c r="J1757" t="s">
        <v>1869</v>
      </c>
    </row>
    <row r="1758" spans="1:10">
      <c r="A1758" s="1">
        <f>HYPERLINK("https://cms.ls-nyc.org/matter/dynamic-profile/view/1860663","18-1860663")</f>
        <v>0</v>
      </c>
      <c r="B1758" t="s">
        <v>11</v>
      </c>
      <c r="C1758" t="s">
        <v>38</v>
      </c>
      <c r="D1758" t="s">
        <v>1432</v>
      </c>
      <c r="E1758" t="s">
        <v>1814</v>
      </c>
      <c r="F1758" t="s">
        <v>1853</v>
      </c>
      <c r="G1758" t="s">
        <v>1862</v>
      </c>
      <c r="H1758" t="s">
        <v>1864</v>
      </c>
      <c r="J1758" t="s">
        <v>1869</v>
      </c>
    </row>
    <row r="1759" spans="1:10">
      <c r="A1759" s="1">
        <f>HYPERLINK("https://cms.ls-nyc.org/matter/dynamic-profile/view/1860680","18-1860680")</f>
        <v>0</v>
      </c>
      <c r="B1759" t="s">
        <v>10</v>
      </c>
      <c r="C1759" t="s">
        <v>16</v>
      </c>
      <c r="D1759" t="s">
        <v>1284</v>
      </c>
      <c r="E1759" t="s">
        <v>1815</v>
      </c>
      <c r="F1759" t="s">
        <v>1853</v>
      </c>
      <c r="G1759" t="s">
        <v>1862</v>
      </c>
      <c r="H1759" t="s">
        <v>1863</v>
      </c>
      <c r="J1759" t="s">
        <v>1867</v>
      </c>
    </row>
    <row r="1760" spans="1:10">
      <c r="A1760" s="1">
        <f>HYPERLINK("https://cms.ls-nyc.org/matter/dynamic-profile/view/1860690","18-1860690")</f>
        <v>0</v>
      </c>
      <c r="B1760" t="s">
        <v>10</v>
      </c>
      <c r="C1760" t="s">
        <v>16</v>
      </c>
      <c r="D1760" t="s">
        <v>1433</v>
      </c>
      <c r="E1760" t="s">
        <v>1815</v>
      </c>
      <c r="F1760" t="s">
        <v>1853</v>
      </c>
      <c r="G1760" t="s">
        <v>1862</v>
      </c>
      <c r="H1760" t="s">
        <v>1863</v>
      </c>
      <c r="J1760" t="s">
        <v>1867</v>
      </c>
    </row>
    <row r="1761" spans="1:10">
      <c r="A1761" s="1">
        <f>HYPERLINK("https://cms.ls-nyc.org/matter/dynamic-profile/view/1860481","18-1860481")</f>
        <v>0</v>
      </c>
      <c r="B1761" t="s">
        <v>14</v>
      </c>
      <c r="C1761" t="s">
        <v>28</v>
      </c>
      <c r="D1761" t="s">
        <v>1434</v>
      </c>
      <c r="E1761" t="s">
        <v>1807</v>
      </c>
      <c r="F1761" t="s">
        <v>1853</v>
      </c>
      <c r="G1761" t="s">
        <v>1862</v>
      </c>
      <c r="H1761" t="s">
        <v>1863</v>
      </c>
      <c r="J1761" t="s">
        <v>1869</v>
      </c>
    </row>
    <row r="1762" spans="1:10">
      <c r="A1762" s="1">
        <f>HYPERLINK("https://cms.ls-nyc.org/matter/dynamic-profile/view/1860518","18-1860518")</f>
        <v>0</v>
      </c>
      <c r="B1762" t="s">
        <v>10</v>
      </c>
      <c r="C1762" t="s">
        <v>16</v>
      </c>
      <c r="D1762" t="s">
        <v>1435</v>
      </c>
      <c r="E1762" t="s">
        <v>1815</v>
      </c>
      <c r="F1762" t="s">
        <v>1853</v>
      </c>
      <c r="G1762" t="s">
        <v>1862</v>
      </c>
      <c r="H1762" t="s">
        <v>1863</v>
      </c>
      <c r="J1762" t="s">
        <v>1869</v>
      </c>
    </row>
    <row r="1763" spans="1:10">
      <c r="A1763" s="1">
        <f>HYPERLINK("https://cms.ls-nyc.org/matter/dynamic-profile/view/1860376","18-1860376")</f>
        <v>0</v>
      </c>
      <c r="B1763" t="s">
        <v>10</v>
      </c>
      <c r="C1763" t="s">
        <v>16</v>
      </c>
      <c r="D1763" t="s">
        <v>1436</v>
      </c>
      <c r="E1763" t="s">
        <v>1815</v>
      </c>
      <c r="F1763" t="s">
        <v>1858</v>
      </c>
      <c r="G1763" t="s">
        <v>1862</v>
      </c>
      <c r="J1763" t="s">
        <v>1868</v>
      </c>
    </row>
    <row r="1764" spans="1:10">
      <c r="A1764" s="1">
        <f>HYPERLINK("https://cms.ls-nyc.org/matter/dynamic-profile/view/1860721","18-1860721")</f>
        <v>0</v>
      </c>
      <c r="B1764" t="s">
        <v>14</v>
      </c>
      <c r="C1764" t="s">
        <v>26</v>
      </c>
      <c r="D1764" t="s">
        <v>1437</v>
      </c>
      <c r="E1764" t="s">
        <v>1815</v>
      </c>
      <c r="F1764" t="s">
        <v>1858</v>
      </c>
      <c r="G1764" t="s">
        <v>1862</v>
      </c>
      <c r="J1764" t="s">
        <v>1868</v>
      </c>
    </row>
    <row r="1765" spans="1:10">
      <c r="A1765" s="1">
        <f>HYPERLINK("https://cms.ls-nyc.org/matter/dynamic-profile/view/1860371","18-1860371")</f>
        <v>0</v>
      </c>
      <c r="B1765" t="s">
        <v>15</v>
      </c>
      <c r="C1765" t="s">
        <v>27</v>
      </c>
      <c r="D1765" t="s">
        <v>1438</v>
      </c>
      <c r="E1765" t="s">
        <v>1807</v>
      </c>
      <c r="F1765" t="s">
        <v>1853</v>
      </c>
      <c r="G1765" t="s">
        <v>1862</v>
      </c>
      <c r="H1765" t="s">
        <v>1863</v>
      </c>
      <c r="J1765" t="s">
        <v>1869</v>
      </c>
    </row>
    <row r="1766" spans="1:10">
      <c r="A1766" s="1">
        <f>HYPERLINK("https://cms.ls-nyc.org/matter/dynamic-profile/view/1860296","18-1860296")</f>
        <v>0</v>
      </c>
      <c r="B1766" t="s">
        <v>10</v>
      </c>
      <c r="C1766" t="s">
        <v>16</v>
      </c>
      <c r="D1766" t="s">
        <v>1439</v>
      </c>
      <c r="E1766" t="s">
        <v>1815</v>
      </c>
      <c r="F1766" t="s">
        <v>1853</v>
      </c>
      <c r="G1766" t="s">
        <v>1862</v>
      </c>
      <c r="H1766" t="s">
        <v>1863</v>
      </c>
      <c r="I1766" t="s">
        <v>1865</v>
      </c>
      <c r="J1766" t="s">
        <v>1866</v>
      </c>
    </row>
    <row r="1767" spans="1:10">
      <c r="A1767" s="1">
        <f>HYPERLINK("https://cms.ls-nyc.org/matter/dynamic-profile/view/1860338","18-1860338")</f>
        <v>0</v>
      </c>
      <c r="B1767" t="s">
        <v>10</v>
      </c>
      <c r="C1767" t="s">
        <v>16</v>
      </c>
      <c r="D1767" t="s">
        <v>1440</v>
      </c>
      <c r="E1767" t="s">
        <v>1815</v>
      </c>
      <c r="F1767" t="s">
        <v>1853</v>
      </c>
      <c r="G1767" t="s">
        <v>1862</v>
      </c>
      <c r="H1767" t="s">
        <v>1863</v>
      </c>
      <c r="J1767" t="s">
        <v>1867</v>
      </c>
    </row>
    <row r="1768" spans="1:10">
      <c r="A1768" s="1">
        <f>HYPERLINK("https://cms.ls-nyc.org/matter/dynamic-profile/view/1860364","18-1860364")</f>
        <v>0</v>
      </c>
      <c r="B1768" t="s">
        <v>14</v>
      </c>
      <c r="C1768" t="s">
        <v>28</v>
      </c>
      <c r="D1768" t="s">
        <v>396</v>
      </c>
      <c r="E1768" t="s">
        <v>1816</v>
      </c>
      <c r="F1768" t="s">
        <v>1853</v>
      </c>
      <c r="G1768" t="s">
        <v>1862</v>
      </c>
      <c r="H1768" t="s">
        <v>1863</v>
      </c>
      <c r="J1768" t="s">
        <v>1867</v>
      </c>
    </row>
    <row r="1769" spans="1:10">
      <c r="A1769" s="1">
        <f>HYPERLINK("https://cms.ls-nyc.org/matter/dynamic-profile/view/1860386","18-1860386")</f>
        <v>0</v>
      </c>
      <c r="B1769" t="s">
        <v>15</v>
      </c>
      <c r="C1769" t="s">
        <v>16</v>
      </c>
      <c r="D1769" t="s">
        <v>1441</v>
      </c>
      <c r="F1769" t="s">
        <v>1853</v>
      </c>
      <c r="G1769" t="s">
        <v>1862</v>
      </c>
      <c r="H1769" t="s">
        <v>1863</v>
      </c>
      <c r="J1769" t="s">
        <v>1866</v>
      </c>
    </row>
    <row r="1770" spans="1:10">
      <c r="A1770" s="1">
        <f>HYPERLINK("https://cms.ls-nyc.org/matter/dynamic-profile/view/1860414","18-1860414")</f>
        <v>0</v>
      </c>
      <c r="B1770" t="s">
        <v>15</v>
      </c>
      <c r="C1770" t="s">
        <v>47</v>
      </c>
      <c r="D1770" t="s">
        <v>1442</v>
      </c>
      <c r="E1770" t="s">
        <v>1809</v>
      </c>
      <c r="F1770" t="s">
        <v>1855</v>
      </c>
      <c r="G1770" t="s">
        <v>1862</v>
      </c>
      <c r="H1770" t="s">
        <v>1863</v>
      </c>
      <c r="J1770" t="s">
        <v>1870</v>
      </c>
    </row>
    <row r="1771" spans="1:10">
      <c r="A1771" s="1">
        <f>HYPERLINK("https://cms.ls-nyc.org/matter/dynamic-profile/view/1860173","18-1860173")</f>
        <v>0</v>
      </c>
      <c r="B1771" t="s">
        <v>14</v>
      </c>
      <c r="C1771" t="s">
        <v>28</v>
      </c>
      <c r="D1771" t="s">
        <v>1443</v>
      </c>
      <c r="E1771" t="s">
        <v>1809</v>
      </c>
      <c r="F1771" t="s">
        <v>1855</v>
      </c>
      <c r="G1771" t="s">
        <v>1862</v>
      </c>
      <c r="H1771" t="s">
        <v>1863</v>
      </c>
      <c r="J1771" t="s">
        <v>1869</v>
      </c>
    </row>
    <row r="1772" spans="1:10">
      <c r="A1772" s="1">
        <f>HYPERLINK("https://cms.ls-nyc.org/matter/dynamic-profile/view/1860283","18-1860283")</f>
        <v>0</v>
      </c>
      <c r="B1772" t="s">
        <v>15</v>
      </c>
      <c r="C1772" t="s">
        <v>59</v>
      </c>
      <c r="D1772" t="s">
        <v>1444</v>
      </c>
      <c r="E1772" t="s">
        <v>1815</v>
      </c>
      <c r="F1772" t="s">
        <v>1858</v>
      </c>
      <c r="G1772" t="s">
        <v>1862</v>
      </c>
      <c r="H1772" t="s">
        <v>1863</v>
      </c>
      <c r="J1772" t="s">
        <v>1868</v>
      </c>
    </row>
    <row r="1773" spans="1:10">
      <c r="A1773" s="1">
        <f>HYPERLINK("https://cms.ls-nyc.org/matter/dynamic-profile/view/1860161","18-1860161")</f>
        <v>0</v>
      </c>
      <c r="B1773" t="s">
        <v>12</v>
      </c>
      <c r="C1773" t="s">
        <v>49</v>
      </c>
      <c r="D1773" t="s">
        <v>1445</v>
      </c>
      <c r="E1773" t="s">
        <v>1799</v>
      </c>
      <c r="F1773" t="s">
        <v>1853</v>
      </c>
      <c r="G1773" t="s">
        <v>1862</v>
      </c>
      <c r="J1773" t="s">
        <v>1867</v>
      </c>
    </row>
    <row r="1774" spans="1:10">
      <c r="A1774" s="1">
        <f>HYPERLINK("https://cms.ls-nyc.org/matter/dynamic-profile/view/1860150","18-1860150")</f>
        <v>0</v>
      </c>
      <c r="B1774" t="s">
        <v>10</v>
      </c>
      <c r="C1774" t="s">
        <v>38</v>
      </c>
      <c r="D1774" t="s">
        <v>1182</v>
      </c>
      <c r="E1774" t="s">
        <v>1815</v>
      </c>
      <c r="F1774" t="s">
        <v>1853</v>
      </c>
      <c r="G1774" t="s">
        <v>1862</v>
      </c>
      <c r="H1774" t="s">
        <v>1863</v>
      </c>
      <c r="J1774" t="s">
        <v>1867</v>
      </c>
    </row>
    <row r="1775" spans="1:10">
      <c r="A1775" s="1">
        <f>HYPERLINK("https://cms.ls-nyc.org/matter/dynamic-profile/view/1860178","18-1860178")</f>
        <v>0</v>
      </c>
      <c r="B1775" t="s">
        <v>11</v>
      </c>
      <c r="C1775" t="s">
        <v>41</v>
      </c>
      <c r="D1775" t="s">
        <v>1335</v>
      </c>
      <c r="E1775" t="s">
        <v>1800</v>
      </c>
      <c r="F1775" t="s">
        <v>1853</v>
      </c>
      <c r="G1775" t="s">
        <v>1862</v>
      </c>
      <c r="H1775" t="s">
        <v>1863</v>
      </c>
      <c r="J1775" t="s">
        <v>1869</v>
      </c>
    </row>
    <row r="1776" spans="1:10">
      <c r="A1776" s="1">
        <f>HYPERLINK("https://cms.ls-nyc.org/matter/dynamic-profile/view/1860053","18-1860053")</f>
        <v>0</v>
      </c>
      <c r="B1776" t="s">
        <v>12</v>
      </c>
      <c r="C1776" t="s">
        <v>40</v>
      </c>
      <c r="D1776" t="s">
        <v>1446</v>
      </c>
      <c r="E1776" t="s">
        <v>1819</v>
      </c>
      <c r="F1776" t="s">
        <v>1853</v>
      </c>
      <c r="G1776" t="s">
        <v>1862</v>
      </c>
      <c r="H1776" t="s">
        <v>1863</v>
      </c>
      <c r="J1776" t="s">
        <v>1867</v>
      </c>
    </row>
    <row r="1777" spans="1:10">
      <c r="A1777" s="1">
        <f>HYPERLINK("https://cms.ls-nyc.org/matter/dynamic-profile/view/1860101","18-1860101")</f>
        <v>0</v>
      </c>
      <c r="B1777" t="s">
        <v>10</v>
      </c>
      <c r="C1777" t="s">
        <v>16</v>
      </c>
      <c r="D1777" t="s">
        <v>1367</v>
      </c>
      <c r="E1777" t="s">
        <v>1812</v>
      </c>
      <c r="F1777" t="s">
        <v>1855</v>
      </c>
      <c r="G1777" t="s">
        <v>1862</v>
      </c>
      <c r="I1777" t="s">
        <v>1865</v>
      </c>
      <c r="J1777" t="s">
        <v>1866</v>
      </c>
    </row>
    <row r="1778" spans="1:10">
      <c r="A1778" s="1">
        <f>HYPERLINK("https://cms.ls-nyc.org/matter/dynamic-profile/view/1859919","18-1859919")</f>
        <v>0</v>
      </c>
      <c r="B1778" t="s">
        <v>12</v>
      </c>
      <c r="C1778" t="s">
        <v>49</v>
      </c>
      <c r="D1778" t="s">
        <v>1447</v>
      </c>
      <c r="E1778" t="s">
        <v>1799</v>
      </c>
      <c r="F1778" t="s">
        <v>1853</v>
      </c>
      <c r="G1778" t="s">
        <v>1862</v>
      </c>
      <c r="J1778" t="s">
        <v>1867</v>
      </c>
    </row>
    <row r="1779" spans="1:10">
      <c r="A1779" s="1">
        <f>HYPERLINK("https://cms.ls-nyc.org/matter/dynamic-profile/view/1857574","18-1857574")</f>
        <v>0</v>
      </c>
      <c r="B1779" t="s">
        <v>13</v>
      </c>
      <c r="C1779" t="s">
        <v>29</v>
      </c>
      <c r="D1779" t="s">
        <v>1448</v>
      </c>
      <c r="E1779" t="s">
        <v>1809</v>
      </c>
      <c r="F1779" t="s">
        <v>1855</v>
      </c>
      <c r="G1779" t="s">
        <v>1862</v>
      </c>
      <c r="H1779" t="s">
        <v>1863</v>
      </c>
      <c r="J1779" t="s">
        <v>1870</v>
      </c>
    </row>
    <row r="1780" spans="1:10">
      <c r="A1780" s="1">
        <f>HYPERLINK("https://cms.ls-nyc.org/matter/dynamic-profile/view/1857575","18-1857575")</f>
        <v>0</v>
      </c>
      <c r="B1780" t="s">
        <v>13</v>
      </c>
      <c r="C1780" t="s">
        <v>29</v>
      </c>
      <c r="D1780" t="s">
        <v>1449</v>
      </c>
      <c r="E1780" t="s">
        <v>1809</v>
      </c>
      <c r="F1780" t="s">
        <v>1855</v>
      </c>
      <c r="G1780" t="s">
        <v>1862</v>
      </c>
      <c r="H1780" t="s">
        <v>1863</v>
      </c>
      <c r="J1780" t="s">
        <v>1870</v>
      </c>
    </row>
    <row r="1781" spans="1:10">
      <c r="A1781" s="1">
        <f>HYPERLINK("https://cms.ls-nyc.org/matter/dynamic-profile/view/1857576","18-1857576")</f>
        <v>0</v>
      </c>
      <c r="B1781" t="s">
        <v>13</v>
      </c>
      <c r="C1781" t="s">
        <v>29</v>
      </c>
      <c r="D1781" t="s">
        <v>1450</v>
      </c>
      <c r="E1781" t="s">
        <v>1809</v>
      </c>
      <c r="F1781" t="s">
        <v>1855</v>
      </c>
      <c r="G1781" t="s">
        <v>1862</v>
      </c>
      <c r="H1781" t="s">
        <v>1863</v>
      </c>
      <c r="J1781" t="s">
        <v>1870</v>
      </c>
    </row>
    <row r="1782" spans="1:10">
      <c r="A1782" s="1">
        <f>HYPERLINK("https://cms.ls-nyc.org/matter/dynamic-profile/view/1859877","18-1859877")</f>
        <v>0</v>
      </c>
      <c r="B1782" t="s">
        <v>10</v>
      </c>
      <c r="C1782" t="s">
        <v>16</v>
      </c>
      <c r="D1782" t="s">
        <v>1130</v>
      </c>
      <c r="E1782" t="s">
        <v>1815</v>
      </c>
      <c r="F1782" t="s">
        <v>1853</v>
      </c>
      <c r="G1782" t="s">
        <v>1862</v>
      </c>
      <c r="H1782" t="s">
        <v>1863</v>
      </c>
      <c r="J1782" t="s">
        <v>1867</v>
      </c>
    </row>
    <row r="1783" spans="1:10">
      <c r="A1783" s="1">
        <f>HYPERLINK("https://cms.ls-nyc.org/matter/dynamic-profile/view/1859828","18-1859828")</f>
        <v>0</v>
      </c>
      <c r="B1783" t="s">
        <v>15</v>
      </c>
      <c r="C1783" t="s">
        <v>59</v>
      </c>
      <c r="D1783" t="s">
        <v>1451</v>
      </c>
      <c r="E1783" t="s">
        <v>1800</v>
      </c>
      <c r="F1783" t="s">
        <v>1853</v>
      </c>
      <c r="G1783" t="s">
        <v>1862</v>
      </c>
      <c r="H1783" t="s">
        <v>1863</v>
      </c>
      <c r="J1783" t="s">
        <v>1869</v>
      </c>
    </row>
    <row r="1784" spans="1:10">
      <c r="A1784" s="1">
        <f>HYPERLINK("https://cms.ls-nyc.org/matter/dynamic-profile/view/1859761","18-1859761")</f>
        <v>0</v>
      </c>
      <c r="B1784" t="s">
        <v>10</v>
      </c>
      <c r="C1784" t="s">
        <v>16</v>
      </c>
      <c r="D1784" t="s">
        <v>1452</v>
      </c>
      <c r="E1784" t="s">
        <v>1815</v>
      </c>
      <c r="F1784" t="s">
        <v>1853</v>
      </c>
      <c r="G1784" t="s">
        <v>1862</v>
      </c>
      <c r="H1784" t="s">
        <v>1863</v>
      </c>
      <c r="J1784" t="s">
        <v>1869</v>
      </c>
    </row>
    <row r="1785" spans="1:10">
      <c r="A1785" s="1">
        <f>HYPERLINK("https://cms.ls-nyc.org/matter/dynamic-profile/view/1859782","18-1859782")</f>
        <v>0</v>
      </c>
      <c r="B1785" t="s">
        <v>10</v>
      </c>
      <c r="C1785" t="s">
        <v>16</v>
      </c>
      <c r="D1785" t="s">
        <v>1275</v>
      </c>
      <c r="E1785" t="s">
        <v>1819</v>
      </c>
      <c r="F1785" t="s">
        <v>1853</v>
      </c>
      <c r="G1785" t="s">
        <v>1862</v>
      </c>
      <c r="H1785" t="s">
        <v>1863</v>
      </c>
      <c r="J1785" t="s">
        <v>1867</v>
      </c>
    </row>
    <row r="1786" spans="1:10">
      <c r="A1786" s="1">
        <f>HYPERLINK("https://cms.ls-nyc.org/matter/dynamic-profile/view/1859811","18-1859811")</f>
        <v>0</v>
      </c>
      <c r="B1786" t="s">
        <v>15</v>
      </c>
      <c r="C1786" t="s">
        <v>59</v>
      </c>
      <c r="D1786" t="s">
        <v>1025</v>
      </c>
      <c r="E1786" t="s">
        <v>1825</v>
      </c>
      <c r="F1786" t="s">
        <v>1853</v>
      </c>
      <c r="G1786" t="s">
        <v>1862</v>
      </c>
      <c r="H1786" t="s">
        <v>1863</v>
      </c>
      <c r="J1786" t="s">
        <v>1867</v>
      </c>
    </row>
    <row r="1787" spans="1:10">
      <c r="A1787" s="1">
        <f>HYPERLINK("https://cms.ls-nyc.org/matter/dynamic-profile/view/1860168","18-1860168")</f>
        <v>0</v>
      </c>
      <c r="B1787" t="s">
        <v>14</v>
      </c>
      <c r="C1787" t="s">
        <v>26</v>
      </c>
      <c r="D1787" t="s">
        <v>1453</v>
      </c>
      <c r="E1787" t="s">
        <v>1809</v>
      </c>
      <c r="F1787" t="s">
        <v>1859</v>
      </c>
      <c r="G1787" t="s">
        <v>1862</v>
      </c>
      <c r="H1787" t="s">
        <v>1863</v>
      </c>
      <c r="J1787" t="s">
        <v>1868</v>
      </c>
    </row>
    <row r="1788" spans="1:10">
      <c r="A1788" s="1">
        <f>HYPERLINK("https://cms.ls-nyc.org/matter/dynamic-profile/view/1860713","18-1860713")</f>
        <v>0</v>
      </c>
      <c r="B1788" t="s">
        <v>15</v>
      </c>
      <c r="C1788" t="s">
        <v>27</v>
      </c>
      <c r="D1788" t="s">
        <v>1454</v>
      </c>
      <c r="E1788" t="s">
        <v>1809</v>
      </c>
      <c r="F1788" t="s">
        <v>1855</v>
      </c>
      <c r="G1788" t="s">
        <v>1862</v>
      </c>
      <c r="H1788" t="s">
        <v>1864</v>
      </c>
      <c r="J1788" t="s">
        <v>1871</v>
      </c>
    </row>
    <row r="1789" spans="1:10">
      <c r="A1789" s="1">
        <f>HYPERLINK("https://cms.ls-nyc.org/matter/dynamic-profile/view/1859648","18-1859648")</f>
        <v>0</v>
      </c>
      <c r="B1789" t="s">
        <v>11</v>
      </c>
      <c r="C1789" t="s">
        <v>32</v>
      </c>
      <c r="D1789" t="s">
        <v>1455</v>
      </c>
      <c r="E1789" t="s">
        <v>1800</v>
      </c>
      <c r="F1789" t="s">
        <v>1853</v>
      </c>
      <c r="G1789" t="s">
        <v>1862</v>
      </c>
      <c r="H1789" t="s">
        <v>1863</v>
      </c>
      <c r="J1789" t="s">
        <v>1867</v>
      </c>
    </row>
    <row r="1790" spans="1:10">
      <c r="A1790" s="1">
        <f>HYPERLINK("https://cms.ls-nyc.org/matter/dynamic-profile/view/1859710","18-1859710")</f>
        <v>0</v>
      </c>
      <c r="B1790" t="s">
        <v>10</v>
      </c>
      <c r="C1790" t="s">
        <v>16</v>
      </c>
      <c r="D1790" t="s">
        <v>1456</v>
      </c>
      <c r="E1790" t="s">
        <v>1815</v>
      </c>
      <c r="F1790" t="s">
        <v>1853</v>
      </c>
      <c r="G1790" t="s">
        <v>1862</v>
      </c>
      <c r="J1790" t="s">
        <v>1867</v>
      </c>
    </row>
    <row r="1791" spans="1:10">
      <c r="A1791" s="1">
        <f>HYPERLINK("https://cms.ls-nyc.org/matter/dynamic-profile/view/1859543","18-1859543")</f>
        <v>0</v>
      </c>
      <c r="B1791" t="s">
        <v>11</v>
      </c>
      <c r="C1791" t="s">
        <v>32</v>
      </c>
      <c r="D1791" t="s">
        <v>1457</v>
      </c>
      <c r="E1791" t="s">
        <v>1816</v>
      </c>
      <c r="F1791" t="s">
        <v>1853</v>
      </c>
      <c r="G1791" t="s">
        <v>1862</v>
      </c>
      <c r="H1791" t="s">
        <v>1863</v>
      </c>
      <c r="J1791" t="s">
        <v>1867</v>
      </c>
    </row>
    <row r="1792" spans="1:10">
      <c r="A1792" s="1">
        <f>HYPERLINK("https://cms.ls-nyc.org/matter/dynamic-profile/view/1860042","18-1860042")</f>
        <v>0</v>
      </c>
      <c r="B1792" t="s">
        <v>13</v>
      </c>
      <c r="C1792" t="s">
        <v>29</v>
      </c>
      <c r="D1792" t="s">
        <v>377</v>
      </c>
      <c r="E1792" t="s">
        <v>1809</v>
      </c>
      <c r="F1792" t="s">
        <v>1855</v>
      </c>
      <c r="G1792" t="s">
        <v>1862</v>
      </c>
      <c r="H1792" t="s">
        <v>1863</v>
      </c>
      <c r="J1792" t="s">
        <v>1870</v>
      </c>
    </row>
    <row r="1793" spans="1:10">
      <c r="A1793" s="1">
        <f>HYPERLINK("https://cms.ls-nyc.org/matter/dynamic-profile/view/1860046","18-1860046")</f>
        <v>0</v>
      </c>
      <c r="B1793" t="s">
        <v>13</v>
      </c>
      <c r="C1793" t="s">
        <v>29</v>
      </c>
      <c r="D1793" t="s">
        <v>378</v>
      </c>
      <c r="E1793" t="s">
        <v>1809</v>
      </c>
      <c r="F1793" t="s">
        <v>1855</v>
      </c>
      <c r="G1793" t="s">
        <v>1862</v>
      </c>
      <c r="H1793" t="s">
        <v>1863</v>
      </c>
      <c r="J1793" t="s">
        <v>1870</v>
      </c>
    </row>
    <row r="1794" spans="1:10">
      <c r="A1794" s="1">
        <f>HYPERLINK("https://cms.ls-nyc.org/matter/dynamic-profile/view/1859441","18-1859441")</f>
        <v>0</v>
      </c>
      <c r="B1794" t="s">
        <v>15</v>
      </c>
      <c r="C1794" t="s">
        <v>59</v>
      </c>
      <c r="D1794" t="s">
        <v>1458</v>
      </c>
      <c r="E1794" t="s">
        <v>1815</v>
      </c>
      <c r="F1794" t="s">
        <v>1853</v>
      </c>
      <c r="G1794" t="s">
        <v>1862</v>
      </c>
      <c r="H1794" t="s">
        <v>1864</v>
      </c>
      <c r="J1794" t="s">
        <v>1867</v>
      </c>
    </row>
    <row r="1795" spans="1:10">
      <c r="A1795" s="1">
        <f>HYPERLINK("https://cms.ls-nyc.org/matter/dynamic-profile/view/1859334","18-1859334")</f>
        <v>0</v>
      </c>
      <c r="B1795" t="s">
        <v>12</v>
      </c>
      <c r="C1795" t="s">
        <v>49</v>
      </c>
      <c r="D1795" t="s">
        <v>1459</v>
      </c>
      <c r="E1795" t="s">
        <v>1816</v>
      </c>
      <c r="F1795" t="s">
        <v>1853</v>
      </c>
      <c r="G1795" t="s">
        <v>1862</v>
      </c>
      <c r="J1795" t="s">
        <v>1867</v>
      </c>
    </row>
    <row r="1796" spans="1:10">
      <c r="A1796" s="1">
        <f>HYPERLINK("https://cms.ls-nyc.org/matter/dynamic-profile/view/1859338","18-1859338")</f>
        <v>0</v>
      </c>
      <c r="B1796" t="s">
        <v>12</v>
      </c>
      <c r="C1796" t="s">
        <v>49</v>
      </c>
      <c r="D1796" t="s">
        <v>1459</v>
      </c>
      <c r="E1796" t="s">
        <v>1816</v>
      </c>
      <c r="F1796" t="s">
        <v>1853</v>
      </c>
      <c r="G1796" t="s">
        <v>1862</v>
      </c>
      <c r="J1796" t="s">
        <v>1867</v>
      </c>
    </row>
    <row r="1797" spans="1:10">
      <c r="A1797" s="1">
        <f>HYPERLINK("https://cms.ls-nyc.org/matter/dynamic-profile/view/1859346","18-1859346")</f>
        <v>0</v>
      </c>
      <c r="B1797" t="s">
        <v>10</v>
      </c>
      <c r="C1797" t="s">
        <v>16</v>
      </c>
      <c r="D1797" t="s">
        <v>1460</v>
      </c>
      <c r="E1797" t="s">
        <v>1807</v>
      </c>
      <c r="F1797" t="s">
        <v>1853</v>
      </c>
      <c r="G1797" t="s">
        <v>1862</v>
      </c>
      <c r="H1797" t="s">
        <v>1863</v>
      </c>
      <c r="J1797" t="s">
        <v>1869</v>
      </c>
    </row>
    <row r="1798" spans="1:10">
      <c r="A1798" s="1">
        <f>HYPERLINK("https://cms.ls-nyc.org/matter/dynamic-profile/view/1859398","18-1859398")</f>
        <v>0</v>
      </c>
      <c r="B1798" t="s">
        <v>15</v>
      </c>
      <c r="C1798" t="s">
        <v>34</v>
      </c>
      <c r="D1798" t="s">
        <v>1461</v>
      </c>
      <c r="E1798" t="s">
        <v>1803</v>
      </c>
      <c r="F1798" t="s">
        <v>1853</v>
      </c>
      <c r="G1798" t="s">
        <v>1862</v>
      </c>
      <c r="H1798" t="s">
        <v>1863</v>
      </c>
      <c r="J1798" t="s">
        <v>1871</v>
      </c>
    </row>
    <row r="1799" spans="1:10">
      <c r="A1799" s="1">
        <f>HYPERLINK("https://cms.ls-nyc.org/matter/dynamic-profile/view/1859534","18-1859534")</f>
        <v>0</v>
      </c>
      <c r="B1799" t="s">
        <v>11</v>
      </c>
      <c r="C1799" t="s">
        <v>38</v>
      </c>
      <c r="D1799" t="s">
        <v>1462</v>
      </c>
      <c r="E1799" t="s">
        <v>1804</v>
      </c>
      <c r="F1799" t="s">
        <v>1853</v>
      </c>
      <c r="G1799" t="s">
        <v>1862</v>
      </c>
      <c r="H1799" t="s">
        <v>1863</v>
      </c>
      <c r="J1799" t="s">
        <v>1867</v>
      </c>
    </row>
    <row r="1800" spans="1:10">
      <c r="A1800" s="1">
        <f>HYPERLINK("https://cms.ls-nyc.org/matter/dynamic-profile/view/1859271","18-1859271")</f>
        <v>0</v>
      </c>
      <c r="B1800" t="s">
        <v>15</v>
      </c>
      <c r="C1800" t="s">
        <v>59</v>
      </c>
      <c r="D1800" t="s">
        <v>1463</v>
      </c>
      <c r="E1800" t="s">
        <v>1821</v>
      </c>
      <c r="F1800" t="s">
        <v>1858</v>
      </c>
      <c r="G1800" t="s">
        <v>1862</v>
      </c>
      <c r="H1800" t="s">
        <v>1864</v>
      </c>
      <c r="J1800" t="s">
        <v>1868</v>
      </c>
    </row>
    <row r="1801" spans="1:10">
      <c r="A1801" s="1">
        <f>HYPERLINK("https://cms.ls-nyc.org/matter/dynamic-profile/view/1859199","18-1859199")</f>
        <v>0</v>
      </c>
      <c r="B1801" t="s">
        <v>11</v>
      </c>
      <c r="C1801" t="s">
        <v>41</v>
      </c>
      <c r="D1801" t="s">
        <v>1464</v>
      </c>
      <c r="E1801" t="s">
        <v>1815</v>
      </c>
      <c r="F1801" t="s">
        <v>1853</v>
      </c>
      <c r="G1801" t="s">
        <v>1862</v>
      </c>
      <c r="J1801" t="s">
        <v>1868</v>
      </c>
    </row>
    <row r="1802" spans="1:10">
      <c r="A1802" s="1">
        <f>HYPERLINK("https://cms.ls-nyc.org/matter/dynamic-profile/view/1859480","18-1859480")</f>
        <v>0</v>
      </c>
      <c r="B1802" t="s">
        <v>14</v>
      </c>
      <c r="C1802" t="s">
        <v>26</v>
      </c>
      <c r="D1802" t="s">
        <v>1465</v>
      </c>
      <c r="E1802" t="s">
        <v>1815</v>
      </c>
      <c r="F1802" t="s">
        <v>1858</v>
      </c>
      <c r="G1802" t="s">
        <v>1862</v>
      </c>
      <c r="J1802" t="s">
        <v>1868</v>
      </c>
    </row>
    <row r="1803" spans="1:10">
      <c r="A1803" s="1">
        <f>HYPERLINK("https://cms.ls-nyc.org/matter/dynamic-profile/view/1859179","18-1859179")</f>
        <v>0</v>
      </c>
      <c r="B1803" t="s">
        <v>10</v>
      </c>
      <c r="C1803" t="s">
        <v>16</v>
      </c>
      <c r="D1803" t="s">
        <v>1466</v>
      </c>
      <c r="E1803" t="s">
        <v>1815</v>
      </c>
      <c r="F1803" t="s">
        <v>1853</v>
      </c>
      <c r="G1803" t="s">
        <v>1862</v>
      </c>
      <c r="H1803" t="s">
        <v>1863</v>
      </c>
      <c r="J1803" t="s">
        <v>1869</v>
      </c>
    </row>
    <row r="1804" spans="1:10">
      <c r="A1804" s="1">
        <f>HYPERLINK("https://cms.ls-nyc.org/matter/dynamic-profile/view/1859037","18-1859037")</f>
        <v>0</v>
      </c>
      <c r="B1804" t="s">
        <v>15</v>
      </c>
      <c r="C1804" t="s">
        <v>34</v>
      </c>
      <c r="D1804" t="s">
        <v>1467</v>
      </c>
      <c r="E1804" t="s">
        <v>1814</v>
      </c>
      <c r="F1804" t="s">
        <v>1853</v>
      </c>
      <c r="G1804" t="s">
        <v>1862</v>
      </c>
      <c r="H1804" t="s">
        <v>1863</v>
      </c>
      <c r="J1804" t="s">
        <v>1869</v>
      </c>
    </row>
    <row r="1805" spans="1:10">
      <c r="A1805" s="1">
        <f>HYPERLINK("https://cms.ls-nyc.org/matter/dynamic-profile/view/1859051","18-1859051")</f>
        <v>0</v>
      </c>
      <c r="B1805" t="s">
        <v>10</v>
      </c>
      <c r="C1805" t="s">
        <v>16</v>
      </c>
      <c r="D1805" t="s">
        <v>1468</v>
      </c>
      <c r="E1805" t="s">
        <v>1815</v>
      </c>
      <c r="F1805" t="s">
        <v>1853</v>
      </c>
      <c r="G1805" t="s">
        <v>1862</v>
      </c>
      <c r="H1805" t="s">
        <v>1863</v>
      </c>
      <c r="J1805" t="s">
        <v>1867</v>
      </c>
    </row>
    <row r="1806" spans="1:10">
      <c r="A1806" s="1">
        <f>HYPERLINK("https://cms.ls-nyc.org/matter/dynamic-profile/view/1859083","18-1859083")</f>
        <v>0</v>
      </c>
      <c r="B1806" t="s">
        <v>10</v>
      </c>
      <c r="C1806" t="s">
        <v>16</v>
      </c>
      <c r="D1806" t="s">
        <v>77</v>
      </c>
      <c r="E1806" t="s">
        <v>1815</v>
      </c>
      <c r="F1806" t="s">
        <v>1853</v>
      </c>
      <c r="G1806" t="s">
        <v>1862</v>
      </c>
      <c r="H1806" t="s">
        <v>1863</v>
      </c>
      <c r="J1806" t="s">
        <v>1867</v>
      </c>
    </row>
    <row r="1807" spans="1:10">
      <c r="A1807" s="1">
        <f>HYPERLINK("https://cms.ls-nyc.org/matter/dynamic-profile/view/1859133","18-1859133")</f>
        <v>0</v>
      </c>
      <c r="B1807" t="s">
        <v>15</v>
      </c>
      <c r="C1807" t="s">
        <v>34</v>
      </c>
      <c r="D1807" t="s">
        <v>1469</v>
      </c>
      <c r="E1807" t="s">
        <v>1802</v>
      </c>
      <c r="F1807" t="s">
        <v>1853</v>
      </c>
      <c r="G1807" t="s">
        <v>1862</v>
      </c>
      <c r="H1807" t="s">
        <v>1863</v>
      </c>
      <c r="J1807" t="s">
        <v>1869</v>
      </c>
    </row>
    <row r="1808" spans="1:10">
      <c r="A1808" s="1">
        <f>HYPERLINK("https://cms.ls-nyc.org/matter/dynamic-profile/view/1858963","17-1858963")</f>
        <v>0</v>
      </c>
      <c r="B1808" t="s">
        <v>15</v>
      </c>
      <c r="C1808" t="s">
        <v>34</v>
      </c>
      <c r="D1808" t="s">
        <v>246</v>
      </c>
      <c r="E1808" t="s">
        <v>1815</v>
      </c>
      <c r="F1808" t="s">
        <v>1853</v>
      </c>
      <c r="G1808" t="s">
        <v>1862</v>
      </c>
      <c r="H1808" t="s">
        <v>1863</v>
      </c>
      <c r="J1808" t="s">
        <v>1867</v>
      </c>
    </row>
    <row r="1809" spans="1:10">
      <c r="A1809" s="1">
        <f>HYPERLINK("https://cms.ls-nyc.org/matter/dynamic-profile/view/1858885","18-1858885")</f>
        <v>0</v>
      </c>
      <c r="B1809" t="s">
        <v>11</v>
      </c>
      <c r="C1809" t="s">
        <v>52</v>
      </c>
      <c r="D1809" t="s">
        <v>1470</v>
      </c>
      <c r="F1809" t="s">
        <v>1853</v>
      </c>
      <c r="G1809" t="s">
        <v>1862</v>
      </c>
      <c r="H1809" t="s">
        <v>1863</v>
      </c>
      <c r="J1809" t="s">
        <v>1868</v>
      </c>
    </row>
    <row r="1810" spans="1:10">
      <c r="A1810" s="1">
        <f>HYPERLINK("https://cms.ls-nyc.org/matter/dynamic-profile/view/1858859","18-1858859")</f>
        <v>0</v>
      </c>
      <c r="B1810" t="s">
        <v>10</v>
      </c>
      <c r="C1810" t="s">
        <v>16</v>
      </c>
      <c r="D1810" t="s">
        <v>1277</v>
      </c>
      <c r="E1810" t="s">
        <v>1814</v>
      </c>
      <c r="F1810" t="s">
        <v>1853</v>
      </c>
      <c r="G1810" t="s">
        <v>1862</v>
      </c>
      <c r="H1810" t="s">
        <v>1863</v>
      </c>
      <c r="J1810" t="s">
        <v>1869</v>
      </c>
    </row>
    <row r="1811" spans="1:10">
      <c r="A1811" s="1">
        <f>HYPERLINK("https://cms.ls-nyc.org/matter/dynamic-profile/view/1858865","18-1858865")</f>
        <v>0</v>
      </c>
      <c r="B1811" t="s">
        <v>10</v>
      </c>
      <c r="C1811" t="s">
        <v>16</v>
      </c>
      <c r="D1811" t="s">
        <v>1471</v>
      </c>
      <c r="E1811" t="s">
        <v>1815</v>
      </c>
      <c r="F1811" t="s">
        <v>1853</v>
      </c>
      <c r="G1811" t="s">
        <v>1862</v>
      </c>
      <c r="J1811" t="s">
        <v>1867</v>
      </c>
    </row>
    <row r="1812" spans="1:10">
      <c r="A1812" s="1">
        <f>HYPERLINK("https://cms.ls-nyc.org/matter/dynamic-profile/view/1858909","18-1858909")</f>
        <v>0</v>
      </c>
      <c r="B1812" t="s">
        <v>10</v>
      </c>
      <c r="C1812" t="s">
        <v>16</v>
      </c>
      <c r="D1812" t="s">
        <v>1472</v>
      </c>
      <c r="E1812" t="s">
        <v>1815</v>
      </c>
      <c r="F1812" t="s">
        <v>1853</v>
      </c>
      <c r="G1812" t="s">
        <v>1862</v>
      </c>
      <c r="H1812" t="s">
        <v>1863</v>
      </c>
      <c r="J1812" t="s">
        <v>1867</v>
      </c>
    </row>
    <row r="1813" spans="1:10">
      <c r="A1813" s="1">
        <f>HYPERLINK("https://cms.ls-nyc.org/matter/dynamic-profile/view/1858995","18-1858995")</f>
        <v>0</v>
      </c>
      <c r="B1813" t="s">
        <v>10</v>
      </c>
      <c r="C1813" t="s">
        <v>16</v>
      </c>
      <c r="D1813" t="s">
        <v>1273</v>
      </c>
      <c r="E1813" t="s">
        <v>1819</v>
      </c>
      <c r="F1813" t="s">
        <v>1853</v>
      </c>
      <c r="G1813" t="s">
        <v>1862</v>
      </c>
      <c r="H1813" t="s">
        <v>1863</v>
      </c>
      <c r="J1813" t="s">
        <v>1867</v>
      </c>
    </row>
    <row r="1814" spans="1:10">
      <c r="A1814" s="1">
        <f>HYPERLINK("https://cms.ls-nyc.org/matter/dynamic-profile/view/1859241","18-1859241")</f>
        <v>0</v>
      </c>
      <c r="B1814" t="s">
        <v>11</v>
      </c>
      <c r="C1814" t="s">
        <v>18</v>
      </c>
      <c r="D1814" t="s">
        <v>1473</v>
      </c>
      <c r="E1814" t="s">
        <v>1809</v>
      </c>
      <c r="F1814" t="s">
        <v>1855</v>
      </c>
      <c r="G1814" t="s">
        <v>1862</v>
      </c>
      <c r="H1814" t="s">
        <v>1863</v>
      </c>
      <c r="J1814" t="s">
        <v>1871</v>
      </c>
    </row>
    <row r="1815" spans="1:10">
      <c r="A1815" s="1">
        <f>HYPERLINK("https://cms.ls-nyc.org/matter/dynamic-profile/view/1858676","18-1858676")</f>
        <v>0</v>
      </c>
      <c r="B1815" t="s">
        <v>10</v>
      </c>
      <c r="C1815" t="s">
        <v>16</v>
      </c>
      <c r="D1815" t="s">
        <v>712</v>
      </c>
      <c r="E1815" t="s">
        <v>1799</v>
      </c>
      <c r="F1815" t="s">
        <v>1853</v>
      </c>
      <c r="G1815" t="s">
        <v>1862</v>
      </c>
      <c r="J1815" t="s">
        <v>1867</v>
      </c>
    </row>
    <row r="1816" spans="1:10">
      <c r="A1816" s="1">
        <f>HYPERLINK("https://cms.ls-nyc.org/matter/dynamic-profile/view/1858684","18-1858684")</f>
        <v>0</v>
      </c>
      <c r="B1816" t="s">
        <v>10</v>
      </c>
      <c r="C1816" t="s">
        <v>16</v>
      </c>
      <c r="D1816" t="s">
        <v>712</v>
      </c>
      <c r="E1816" t="s">
        <v>1814</v>
      </c>
      <c r="F1816" t="s">
        <v>1853</v>
      </c>
      <c r="G1816" t="s">
        <v>1862</v>
      </c>
      <c r="H1816" t="s">
        <v>1863</v>
      </c>
      <c r="J1816" t="s">
        <v>1869</v>
      </c>
    </row>
    <row r="1817" spans="1:10">
      <c r="A1817" s="1">
        <f>HYPERLINK("https://cms.ls-nyc.org/matter/dynamic-profile/view/1858696","18-1858696")</f>
        <v>0</v>
      </c>
      <c r="B1817" t="s">
        <v>10</v>
      </c>
      <c r="C1817" t="s">
        <v>16</v>
      </c>
      <c r="D1817" t="s">
        <v>548</v>
      </c>
      <c r="E1817" t="s">
        <v>1810</v>
      </c>
      <c r="F1817" t="s">
        <v>1853</v>
      </c>
      <c r="G1817" t="s">
        <v>1862</v>
      </c>
      <c r="H1817" t="s">
        <v>1863</v>
      </c>
      <c r="J1817" t="s">
        <v>1869</v>
      </c>
    </row>
    <row r="1818" spans="1:10">
      <c r="A1818" s="1">
        <f>HYPERLINK("https://cms.ls-nyc.org/matter/dynamic-profile/view/1858753","18-1858753")</f>
        <v>0</v>
      </c>
      <c r="B1818" t="s">
        <v>10</v>
      </c>
      <c r="C1818" t="s">
        <v>16</v>
      </c>
      <c r="D1818" t="s">
        <v>1474</v>
      </c>
      <c r="E1818" t="s">
        <v>1815</v>
      </c>
      <c r="F1818" t="s">
        <v>1853</v>
      </c>
      <c r="G1818" t="s">
        <v>1862</v>
      </c>
      <c r="H1818" t="s">
        <v>1863</v>
      </c>
      <c r="J1818" t="s">
        <v>1867</v>
      </c>
    </row>
    <row r="1819" spans="1:10">
      <c r="A1819" s="1">
        <f>HYPERLINK("https://cms.ls-nyc.org/matter/dynamic-profile/view/1858214","18-1858214")</f>
        <v>0</v>
      </c>
      <c r="B1819" t="s">
        <v>13</v>
      </c>
      <c r="C1819" t="s">
        <v>24</v>
      </c>
      <c r="D1819" t="s">
        <v>1475</v>
      </c>
      <c r="E1819" t="s">
        <v>1804</v>
      </c>
      <c r="F1819" t="s">
        <v>1853</v>
      </c>
      <c r="G1819" t="s">
        <v>1862</v>
      </c>
      <c r="H1819" t="s">
        <v>1863</v>
      </c>
      <c r="J1819" t="s">
        <v>1867</v>
      </c>
    </row>
    <row r="1820" spans="1:10">
      <c r="A1820" s="1">
        <f>HYPERLINK("https://cms.ls-nyc.org/matter/dynamic-profile/view/1858217","18-1858217")</f>
        <v>0</v>
      </c>
      <c r="B1820" t="s">
        <v>13</v>
      </c>
      <c r="C1820" t="s">
        <v>24</v>
      </c>
      <c r="D1820" t="s">
        <v>1475</v>
      </c>
      <c r="E1820" t="s">
        <v>1805</v>
      </c>
      <c r="F1820" t="s">
        <v>1853</v>
      </c>
      <c r="G1820" t="s">
        <v>1862</v>
      </c>
      <c r="H1820" t="s">
        <v>1863</v>
      </c>
      <c r="J1820" t="s">
        <v>1869</v>
      </c>
    </row>
    <row r="1821" spans="1:10">
      <c r="A1821" s="1">
        <f>HYPERLINK("https://cms.ls-nyc.org/matter/dynamic-profile/view/1858230","18-1858230")</f>
        <v>0</v>
      </c>
      <c r="B1821" t="s">
        <v>13</v>
      </c>
      <c r="C1821" t="s">
        <v>24</v>
      </c>
      <c r="D1821" t="s">
        <v>1476</v>
      </c>
      <c r="E1821" t="s">
        <v>1804</v>
      </c>
      <c r="F1821" t="s">
        <v>1853</v>
      </c>
      <c r="G1821" t="s">
        <v>1862</v>
      </c>
      <c r="H1821" t="s">
        <v>1863</v>
      </c>
      <c r="J1821" t="s">
        <v>1867</v>
      </c>
    </row>
    <row r="1822" spans="1:10">
      <c r="A1822" s="1">
        <f>HYPERLINK("https://cms.ls-nyc.org/matter/dynamic-profile/view/1858233","18-1858233")</f>
        <v>0</v>
      </c>
      <c r="B1822" t="s">
        <v>13</v>
      </c>
      <c r="C1822" t="s">
        <v>24</v>
      </c>
      <c r="D1822" t="s">
        <v>1476</v>
      </c>
      <c r="E1822" t="s">
        <v>1805</v>
      </c>
      <c r="F1822" t="s">
        <v>1853</v>
      </c>
      <c r="G1822" t="s">
        <v>1862</v>
      </c>
      <c r="H1822" t="s">
        <v>1863</v>
      </c>
      <c r="J1822" t="s">
        <v>1869</v>
      </c>
    </row>
    <row r="1823" spans="1:10">
      <c r="A1823" s="1">
        <f>HYPERLINK("https://cms.ls-nyc.org/matter/dynamic-profile/view/1858241","18-1858241")</f>
        <v>0</v>
      </c>
      <c r="B1823" t="s">
        <v>13</v>
      </c>
      <c r="C1823" t="s">
        <v>24</v>
      </c>
      <c r="D1823" t="s">
        <v>1477</v>
      </c>
      <c r="E1823" t="s">
        <v>1805</v>
      </c>
      <c r="F1823" t="s">
        <v>1853</v>
      </c>
      <c r="G1823" t="s">
        <v>1862</v>
      </c>
      <c r="H1823" t="s">
        <v>1863</v>
      </c>
      <c r="J1823" t="s">
        <v>1869</v>
      </c>
    </row>
    <row r="1824" spans="1:10">
      <c r="A1824" s="1">
        <f>HYPERLINK("https://cms.ls-nyc.org/matter/dynamic-profile/view/1858246","18-1858246")</f>
        <v>0</v>
      </c>
      <c r="B1824" t="s">
        <v>13</v>
      </c>
      <c r="C1824" t="s">
        <v>24</v>
      </c>
      <c r="D1824" t="s">
        <v>1478</v>
      </c>
      <c r="E1824" t="s">
        <v>1805</v>
      </c>
      <c r="F1824" t="s">
        <v>1853</v>
      </c>
      <c r="G1824" t="s">
        <v>1862</v>
      </c>
      <c r="H1824" t="s">
        <v>1863</v>
      </c>
      <c r="J1824" t="s">
        <v>1869</v>
      </c>
    </row>
    <row r="1825" spans="1:10">
      <c r="A1825" s="1">
        <f>HYPERLINK("https://cms.ls-nyc.org/matter/dynamic-profile/view/1858248","18-1858248")</f>
        <v>0</v>
      </c>
      <c r="B1825" t="s">
        <v>13</v>
      </c>
      <c r="C1825" t="s">
        <v>24</v>
      </c>
      <c r="D1825" t="s">
        <v>1478</v>
      </c>
      <c r="E1825" t="s">
        <v>1804</v>
      </c>
      <c r="F1825" t="s">
        <v>1853</v>
      </c>
      <c r="G1825" t="s">
        <v>1862</v>
      </c>
      <c r="H1825" t="s">
        <v>1863</v>
      </c>
      <c r="J1825" t="s">
        <v>1867</v>
      </c>
    </row>
    <row r="1826" spans="1:10">
      <c r="A1826" s="1">
        <f>HYPERLINK("https://cms.ls-nyc.org/matter/dynamic-profile/view/1858250","18-1858250")</f>
        <v>0</v>
      </c>
      <c r="B1826" t="s">
        <v>13</v>
      </c>
      <c r="C1826" t="s">
        <v>24</v>
      </c>
      <c r="D1826" t="s">
        <v>1479</v>
      </c>
      <c r="E1826" t="s">
        <v>1805</v>
      </c>
      <c r="F1826" t="s">
        <v>1853</v>
      </c>
      <c r="G1826" t="s">
        <v>1862</v>
      </c>
      <c r="H1826" t="s">
        <v>1863</v>
      </c>
      <c r="J1826" t="s">
        <v>1869</v>
      </c>
    </row>
    <row r="1827" spans="1:10">
      <c r="A1827" s="1">
        <f>HYPERLINK("https://cms.ls-nyc.org/matter/dynamic-profile/view/1858252","18-1858252")</f>
        <v>0</v>
      </c>
      <c r="B1827" t="s">
        <v>13</v>
      </c>
      <c r="C1827" t="s">
        <v>24</v>
      </c>
      <c r="D1827" t="s">
        <v>1479</v>
      </c>
      <c r="E1827" t="s">
        <v>1804</v>
      </c>
      <c r="F1827" t="s">
        <v>1853</v>
      </c>
      <c r="G1827" t="s">
        <v>1862</v>
      </c>
      <c r="H1827" t="s">
        <v>1863</v>
      </c>
      <c r="J1827" t="s">
        <v>1867</v>
      </c>
    </row>
    <row r="1828" spans="1:10">
      <c r="A1828" s="1">
        <f>HYPERLINK("https://cms.ls-nyc.org/matter/dynamic-profile/view/1858254","18-1858254")</f>
        <v>0</v>
      </c>
      <c r="B1828" t="s">
        <v>13</v>
      </c>
      <c r="C1828" t="s">
        <v>24</v>
      </c>
      <c r="D1828" t="s">
        <v>1480</v>
      </c>
      <c r="E1828" t="s">
        <v>1805</v>
      </c>
      <c r="F1828" t="s">
        <v>1853</v>
      </c>
      <c r="G1828" t="s">
        <v>1862</v>
      </c>
      <c r="H1828" t="s">
        <v>1863</v>
      </c>
      <c r="J1828" t="s">
        <v>1869</v>
      </c>
    </row>
    <row r="1829" spans="1:10">
      <c r="A1829" s="1">
        <f>HYPERLINK("https://cms.ls-nyc.org/matter/dynamic-profile/view/1858257","18-1858257")</f>
        <v>0</v>
      </c>
      <c r="B1829" t="s">
        <v>13</v>
      </c>
      <c r="C1829" t="s">
        <v>24</v>
      </c>
      <c r="D1829" t="s">
        <v>1480</v>
      </c>
      <c r="E1829" t="s">
        <v>1804</v>
      </c>
      <c r="F1829" t="s">
        <v>1853</v>
      </c>
      <c r="G1829" t="s">
        <v>1862</v>
      </c>
      <c r="H1829" t="s">
        <v>1863</v>
      </c>
      <c r="J1829" t="s">
        <v>1867</v>
      </c>
    </row>
    <row r="1830" spans="1:10">
      <c r="A1830" s="1">
        <f>HYPERLINK("https://cms.ls-nyc.org/matter/dynamic-profile/view/1858260","18-1858260")</f>
        <v>0</v>
      </c>
      <c r="B1830" t="s">
        <v>10</v>
      </c>
      <c r="C1830" t="s">
        <v>16</v>
      </c>
      <c r="D1830" t="s">
        <v>1481</v>
      </c>
      <c r="E1830" t="s">
        <v>1805</v>
      </c>
      <c r="F1830" t="s">
        <v>1853</v>
      </c>
      <c r="G1830" t="s">
        <v>1862</v>
      </c>
      <c r="H1830" t="s">
        <v>1863</v>
      </c>
      <c r="J1830" t="s">
        <v>1869</v>
      </c>
    </row>
    <row r="1831" spans="1:10">
      <c r="A1831" s="1">
        <f>HYPERLINK("https://cms.ls-nyc.org/matter/dynamic-profile/view/1858521","18-1858521")</f>
        <v>0</v>
      </c>
      <c r="B1831" t="s">
        <v>15</v>
      </c>
      <c r="C1831" t="s">
        <v>56</v>
      </c>
      <c r="D1831" t="s">
        <v>1482</v>
      </c>
      <c r="E1831" t="s">
        <v>1803</v>
      </c>
      <c r="F1831" t="s">
        <v>1855</v>
      </c>
      <c r="G1831" t="s">
        <v>1862</v>
      </c>
      <c r="H1831" t="s">
        <v>1863</v>
      </c>
      <c r="J1831" t="s">
        <v>1870</v>
      </c>
    </row>
    <row r="1832" spans="1:10">
      <c r="A1832" s="1">
        <f>HYPERLINK("https://cms.ls-nyc.org/matter/dynamic-profile/view/1858627","18-1858627")</f>
        <v>0</v>
      </c>
      <c r="B1832" t="s">
        <v>10</v>
      </c>
      <c r="C1832" t="s">
        <v>16</v>
      </c>
      <c r="D1832" t="s">
        <v>1483</v>
      </c>
      <c r="E1832" t="s">
        <v>1807</v>
      </c>
      <c r="F1832" t="s">
        <v>1858</v>
      </c>
      <c r="G1832" t="s">
        <v>1862</v>
      </c>
      <c r="J1832" t="s">
        <v>1868</v>
      </c>
    </row>
    <row r="1833" spans="1:10">
      <c r="A1833" s="1">
        <f>HYPERLINK("https://cms.ls-nyc.org/matter/dynamic-profile/view/1858372","18-1858372")</f>
        <v>0</v>
      </c>
      <c r="B1833" t="s">
        <v>15</v>
      </c>
      <c r="C1833" t="s">
        <v>34</v>
      </c>
      <c r="D1833" t="s">
        <v>1484</v>
      </c>
      <c r="E1833" t="s">
        <v>1815</v>
      </c>
      <c r="F1833" t="s">
        <v>1853</v>
      </c>
      <c r="G1833" t="s">
        <v>1862</v>
      </c>
      <c r="H1833" t="s">
        <v>1863</v>
      </c>
      <c r="J1833" t="s">
        <v>1867</v>
      </c>
    </row>
    <row r="1834" spans="1:10">
      <c r="A1834" s="1">
        <f>HYPERLINK("https://cms.ls-nyc.org/matter/dynamic-profile/view/1858398","18-1858398")</f>
        <v>0</v>
      </c>
      <c r="B1834" t="s">
        <v>10</v>
      </c>
      <c r="C1834" t="s">
        <v>16</v>
      </c>
      <c r="D1834" t="s">
        <v>1286</v>
      </c>
      <c r="E1834" t="s">
        <v>1815</v>
      </c>
      <c r="F1834" t="s">
        <v>1853</v>
      </c>
      <c r="G1834" t="s">
        <v>1862</v>
      </c>
      <c r="H1834" t="s">
        <v>1863</v>
      </c>
      <c r="J1834" t="s">
        <v>1867</v>
      </c>
    </row>
    <row r="1835" spans="1:10">
      <c r="A1835" s="1">
        <f>HYPERLINK("https://cms.ls-nyc.org/matter/dynamic-profile/view/1858404","18-1858404")</f>
        <v>0</v>
      </c>
      <c r="B1835" t="s">
        <v>10</v>
      </c>
      <c r="C1835" t="s">
        <v>16</v>
      </c>
      <c r="D1835" t="s">
        <v>1285</v>
      </c>
      <c r="E1835" t="s">
        <v>1815</v>
      </c>
      <c r="F1835" t="s">
        <v>1853</v>
      </c>
      <c r="G1835" t="s">
        <v>1862</v>
      </c>
      <c r="H1835" t="s">
        <v>1863</v>
      </c>
      <c r="J1835" t="s">
        <v>1867</v>
      </c>
    </row>
    <row r="1836" spans="1:10">
      <c r="A1836" s="1">
        <f>HYPERLINK("https://cms.ls-nyc.org/matter/dynamic-profile/view/1858405","18-1858405")</f>
        <v>0</v>
      </c>
      <c r="B1836" t="s">
        <v>13</v>
      </c>
      <c r="C1836" t="s">
        <v>29</v>
      </c>
      <c r="D1836" t="s">
        <v>1485</v>
      </c>
      <c r="E1836" t="s">
        <v>1815</v>
      </c>
      <c r="F1836" t="s">
        <v>1853</v>
      </c>
      <c r="G1836" t="s">
        <v>1862</v>
      </c>
      <c r="H1836" t="s">
        <v>1863</v>
      </c>
      <c r="J1836" t="s">
        <v>1867</v>
      </c>
    </row>
    <row r="1837" spans="1:10">
      <c r="A1837" s="1">
        <f>HYPERLINK("https://cms.ls-nyc.org/matter/dynamic-profile/view/1858410","18-1858410")</f>
        <v>0</v>
      </c>
      <c r="B1837" t="s">
        <v>13</v>
      </c>
      <c r="C1837" t="s">
        <v>29</v>
      </c>
      <c r="D1837" t="s">
        <v>1486</v>
      </c>
      <c r="E1837" t="s">
        <v>1815</v>
      </c>
      <c r="F1837" t="s">
        <v>1853</v>
      </c>
      <c r="G1837" t="s">
        <v>1862</v>
      </c>
      <c r="H1837" t="s">
        <v>1863</v>
      </c>
      <c r="J1837" t="s">
        <v>1867</v>
      </c>
    </row>
    <row r="1838" spans="1:10">
      <c r="A1838" s="1">
        <f>HYPERLINK("https://cms.ls-nyc.org/matter/dynamic-profile/view/1858414","18-1858414")</f>
        <v>0</v>
      </c>
      <c r="B1838" t="s">
        <v>10</v>
      </c>
      <c r="C1838" t="s">
        <v>16</v>
      </c>
      <c r="D1838" t="s">
        <v>1487</v>
      </c>
      <c r="E1838" t="s">
        <v>1815</v>
      </c>
      <c r="F1838" t="s">
        <v>1853</v>
      </c>
      <c r="G1838" t="s">
        <v>1862</v>
      </c>
      <c r="H1838" t="s">
        <v>1863</v>
      </c>
      <c r="J1838" t="s">
        <v>1867</v>
      </c>
    </row>
    <row r="1839" spans="1:10">
      <c r="A1839" s="1">
        <f>HYPERLINK("https://cms.ls-nyc.org/matter/dynamic-profile/view/1858482","18-1858482")</f>
        <v>0</v>
      </c>
      <c r="B1839" t="s">
        <v>11</v>
      </c>
      <c r="C1839" t="s">
        <v>41</v>
      </c>
      <c r="D1839" t="s">
        <v>1488</v>
      </c>
      <c r="E1839" t="s">
        <v>1800</v>
      </c>
      <c r="F1839" t="s">
        <v>1853</v>
      </c>
      <c r="G1839" t="s">
        <v>1862</v>
      </c>
      <c r="H1839" t="s">
        <v>1863</v>
      </c>
      <c r="J1839" t="s">
        <v>1869</v>
      </c>
    </row>
    <row r="1840" spans="1:10">
      <c r="A1840" s="1">
        <f>HYPERLINK("https://cms.ls-nyc.org/matter/dynamic-profile/view/1858258","18-1858258")</f>
        <v>0</v>
      </c>
      <c r="B1840" t="s">
        <v>11</v>
      </c>
      <c r="C1840" t="s">
        <v>39</v>
      </c>
      <c r="D1840" t="s">
        <v>1489</v>
      </c>
      <c r="E1840" t="s">
        <v>1806</v>
      </c>
      <c r="F1840" t="s">
        <v>1853</v>
      </c>
      <c r="G1840" t="s">
        <v>1862</v>
      </c>
      <c r="H1840" t="s">
        <v>1864</v>
      </c>
      <c r="J1840" t="s">
        <v>1869</v>
      </c>
    </row>
    <row r="1841" spans="1:10">
      <c r="A1841" s="1">
        <f>HYPERLINK("https://cms.ls-nyc.org/matter/dynamic-profile/view/1858139","18-1858139")</f>
        <v>0</v>
      </c>
      <c r="B1841" t="s">
        <v>11</v>
      </c>
      <c r="C1841" t="s">
        <v>52</v>
      </c>
      <c r="D1841" t="s">
        <v>1490</v>
      </c>
      <c r="F1841" t="s">
        <v>1853</v>
      </c>
      <c r="G1841" t="s">
        <v>1862</v>
      </c>
      <c r="H1841" t="s">
        <v>1863</v>
      </c>
      <c r="J1841" t="s">
        <v>1868</v>
      </c>
    </row>
    <row r="1842" spans="1:10">
      <c r="A1842" s="1">
        <f>HYPERLINK("https://cms.ls-nyc.org/matter/dynamic-profile/view/1857989","18-1857989")</f>
        <v>0</v>
      </c>
      <c r="B1842" t="s">
        <v>10</v>
      </c>
      <c r="C1842" t="s">
        <v>16</v>
      </c>
      <c r="D1842" t="s">
        <v>1353</v>
      </c>
      <c r="E1842" t="s">
        <v>1815</v>
      </c>
      <c r="F1842" t="s">
        <v>1853</v>
      </c>
      <c r="G1842" t="s">
        <v>1862</v>
      </c>
      <c r="H1842" t="s">
        <v>1863</v>
      </c>
      <c r="J1842" t="s">
        <v>1869</v>
      </c>
    </row>
    <row r="1843" spans="1:10">
      <c r="A1843" s="1">
        <f>HYPERLINK("https://cms.ls-nyc.org/matter/dynamic-profile/view/1857420","18-1857420")</f>
        <v>0</v>
      </c>
      <c r="B1843" t="s">
        <v>11</v>
      </c>
      <c r="C1843" t="s">
        <v>38</v>
      </c>
      <c r="D1843" t="s">
        <v>1491</v>
      </c>
      <c r="E1843" t="s">
        <v>1800</v>
      </c>
      <c r="F1843" t="s">
        <v>1853</v>
      </c>
      <c r="G1843" t="s">
        <v>1862</v>
      </c>
      <c r="H1843" t="s">
        <v>1864</v>
      </c>
      <c r="J1843" t="s">
        <v>1869</v>
      </c>
    </row>
    <row r="1844" spans="1:10">
      <c r="A1844" s="1">
        <f>HYPERLINK("https://cms.ls-nyc.org/matter/dynamic-profile/view/1857821","18-1857821")</f>
        <v>0</v>
      </c>
      <c r="B1844" t="s">
        <v>13</v>
      </c>
      <c r="C1844" t="s">
        <v>43</v>
      </c>
      <c r="D1844" t="s">
        <v>1492</v>
      </c>
      <c r="E1844" t="s">
        <v>1809</v>
      </c>
      <c r="F1844" t="s">
        <v>1855</v>
      </c>
      <c r="G1844" t="s">
        <v>1862</v>
      </c>
      <c r="H1844" t="s">
        <v>1863</v>
      </c>
      <c r="J1844" t="s">
        <v>1871</v>
      </c>
    </row>
    <row r="1845" spans="1:10">
      <c r="A1845" s="1">
        <f>HYPERLINK("https://cms.ls-nyc.org/matter/dynamic-profile/view/1857828","18-1857828")</f>
        <v>0</v>
      </c>
      <c r="B1845" t="s">
        <v>13</v>
      </c>
      <c r="C1845" t="s">
        <v>24</v>
      </c>
      <c r="D1845" t="s">
        <v>1493</v>
      </c>
      <c r="E1845" t="s">
        <v>1805</v>
      </c>
      <c r="F1845" t="s">
        <v>1853</v>
      </c>
      <c r="G1845" t="s">
        <v>1862</v>
      </c>
      <c r="H1845" t="s">
        <v>1863</v>
      </c>
      <c r="J1845" t="s">
        <v>1869</v>
      </c>
    </row>
    <row r="1846" spans="1:10">
      <c r="A1846" s="1">
        <f>HYPERLINK("https://cms.ls-nyc.org/matter/dynamic-profile/view/1857832","18-1857832")</f>
        <v>0</v>
      </c>
      <c r="B1846" t="s">
        <v>13</v>
      </c>
      <c r="C1846" t="s">
        <v>24</v>
      </c>
      <c r="D1846" t="s">
        <v>1493</v>
      </c>
      <c r="E1846" t="s">
        <v>1804</v>
      </c>
      <c r="F1846" t="s">
        <v>1853</v>
      </c>
      <c r="G1846" t="s">
        <v>1862</v>
      </c>
      <c r="H1846" t="s">
        <v>1863</v>
      </c>
      <c r="J1846" t="s">
        <v>1867</v>
      </c>
    </row>
    <row r="1847" spans="1:10">
      <c r="A1847" s="1">
        <f>HYPERLINK("https://cms.ls-nyc.org/matter/dynamic-profile/view/1857781","18-1857781")</f>
        <v>0</v>
      </c>
      <c r="B1847" t="s">
        <v>11</v>
      </c>
      <c r="C1847" t="s">
        <v>52</v>
      </c>
      <c r="D1847" t="s">
        <v>1494</v>
      </c>
      <c r="F1847" t="s">
        <v>1853</v>
      </c>
      <c r="G1847" t="s">
        <v>1862</v>
      </c>
      <c r="H1847" t="s">
        <v>1864</v>
      </c>
      <c r="J1847" t="s">
        <v>1868</v>
      </c>
    </row>
    <row r="1848" spans="1:10">
      <c r="A1848" s="1">
        <f>HYPERLINK("https://cms.ls-nyc.org/matter/dynamic-profile/view/1857853","18-1857853")</f>
        <v>0</v>
      </c>
      <c r="B1848" t="s">
        <v>11</v>
      </c>
      <c r="C1848" t="s">
        <v>32</v>
      </c>
      <c r="D1848" t="s">
        <v>1495</v>
      </c>
      <c r="E1848" t="s">
        <v>1800</v>
      </c>
      <c r="F1848" t="s">
        <v>1853</v>
      </c>
      <c r="G1848" t="s">
        <v>1862</v>
      </c>
      <c r="H1848" t="s">
        <v>1863</v>
      </c>
      <c r="J1848" t="s">
        <v>1867</v>
      </c>
    </row>
    <row r="1849" spans="1:10">
      <c r="A1849" s="1">
        <f>HYPERLINK("https://cms.ls-nyc.org/matter/dynamic-profile/view/1857777","18-1857777")</f>
        <v>0</v>
      </c>
      <c r="B1849" t="s">
        <v>12</v>
      </c>
      <c r="C1849" t="s">
        <v>40</v>
      </c>
      <c r="D1849" t="s">
        <v>1496</v>
      </c>
      <c r="E1849" t="s">
        <v>1810</v>
      </c>
      <c r="G1849" t="s">
        <v>1862</v>
      </c>
      <c r="J1849" t="s">
        <v>1869</v>
      </c>
    </row>
    <row r="1850" spans="1:10">
      <c r="A1850" s="1">
        <f>HYPERLINK("https://cms.ls-nyc.org/matter/dynamic-profile/view/1857830","18-1857830")</f>
        <v>0</v>
      </c>
      <c r="B1850" t="s">
        <v>10</v>
      </c>
      <c r="C1850" t="s">
        <v>16</v>
      </c>
      <c r="D1850" t="s">
        <v>1497</v>
      </c>
      <c r="E1850" t="s">
        <v>1807</v>
      </c>
      <c r="F1850" t="s">
        <v>1853</v>
      </c>
      <c r="G1850" t="s">
        <v>1862</v>
      </c>
      <c r="H1850" t="s">
        <v>1863</v>
      </c>
      <c r="J1850" t="s">
        <v>1869</v>
      </c>
    </row>
    <row r="1851" spans="1:10">
      <c r="A1851" s="1">
        <f>HYPERLINK("https://cms.ls-nyc.org/matter/dynamic-profile/view/1857714","18-1857714")</f>
        <v>0</v>
      </c>
      <c r="B1851" t="s">
        <v>11</v>
      </c>
      <c r="C1851" t="s">
        <v>32</v>
      </c>
      <c r="D1851" t="s">
        <v>1498</v>
      </c>
      <c r="E1851" t="s">
        <v>1804</v>
      </c>
      <c r="F1851" t="s">
        <v>1853</v>
      </c>
      <c r="G1851" t="s">
        <v>1862</v>
      </c>
      <c r="H1851" t="s">
        <v>1863</v>
      </c>
      <c r="J1851" t="s">
        <v>1867</v>
      </c>
    </row>
    <row r="1852" spans="1:10">
      <c r="A1852" s="1">
        <f>HYPERLINK("https://cms.ls-nyc.org/matter/dynamic-profile/view/1857573","18-1857573")</f>
        <v>0</v>
      </c>
      <c r="B1852" t="s">
        <v>15</v>
      </c>
      <c r="C1852" t="s">
        <v>34</v>
      </c>
      <c r="D1852" t="s">
        <v>1499</v>
      </c>
      <c r="E1852" t="s">
        <v>1821</v>
      </c>
      <c r="F1852" t="s">
        <v>1853</v>
      </c>
      <c r="G1852" t="s">
        <v>1862</v>
      </c>
      <c r="H1852" t="s">
        <v>1863</v>
      </c>
      <c r="J1852" t="s">
        <v>1867</v>
      </c>
    </row>
    <row r="1853" spans="1:10">
      <c r="A1853" s="1">
        <f>HYPERLINK("https://cms.ls-nyc.org/matter/dynamic-profile/view/1857583","18-1857583")</f>
        <v>0</v>
      </c>
      <c r="B1853" t="s">
        <v>15</v>
      </c>
      <c r="C1853" t="s">
        <v>34</v>
      </c>
      <c r="D1853" t="s">
        <v>1500</v>
      </c>
      <c r="E1853" t="s">
        <v>1807</v>
      </c>
      <c r="F1853" t="s">
        <v>1855</v>
      </c>
      <c r="G1853" t="s">
        <v>1862</v>
      </c>
      <c r="J1853" t="s">
        <v>1869</v>
      </c>
    </row>
    <row r="1854" spans="1:10">
      <c r="A1854" s="1">
        <f>HYPERLINK("https://cms.ls-nyc.org/matter/dynamic-profile/view/1857597","18-1857597")</f>
        <v>0</v>
      </c>
      <c r="B1854" t="s">
        <v>10</v>
      </c>
      <c r="C1854" t="s">
        <v>16</v>
      </c>
      <c r="D1854" t="s">
        <v>1352</v>
      </c>
      <c r="E1854" t="s">
        <v>1815</v>
      </c>
      <c r="F1854" t="s">
        <v>1853</v>
      </c>
      <c r="G1854" t="s">
        <v>1862</v>
      </c>
      <c r="H1854" t="s">
        <v>1863</v>
      </c>
      <c r="I1854" t="s">
        <v>1865</v>
      </c>
      <c r="J1854" t="s">
        <v>1866</v>
      </c>
    </row>
    <row r="1855" spans="1:10">
      <c r="A1855" s="1">
        <f>HYPERLINK("https://cms.ls-nyc.org/matter/dynamic-profile/view/1857633","18-1857633")</f>
        <v>0</v>
      </c>
      <c r="B1855" t="s">
        <v>12</v>
      </c>
      <c r="C1855" t="s">
        <v>40</v>
      </c>
      <c r="D1855" t="s">
        <v>1501</v>
      </c>
      <c r="E1855" t="s">
        <v>1819</v>
      </c>
      <c r="F1855" t="s">
        <v>1853</v>
      </c>
      <c r="G1855" t="s">
        <v>1862</v>
      </c>
      <c r="H1855" t="s">
        <v>1863</v>
      </c>
      <c r="J1855" t="s">
        <v>1867</v>
      </c>
    </row>
    <row r="1856" spans="1:10">
      <c r="A1856" s="1">
        <f>HYPERLINK("https://cms.ls-nyc.org/matter/dynamic-profile/view/1857721","18-1857721")</f>
        <v>0</v>
      </c>
      <c r="B1856" t="s">
        <v>10</v>
      </c>
      <c r="C1856" t="s">
        <v>16</v>
      </c>
      <c r="D1856" t="s">
        <v>1502</v>
      </c>
      <c r="E1856" t="s">
        <v>1810</v>
      </c>
      <c r="F1856" t="s">
        <v>1853</v>
      </c>
      <c r="G1856" t="s">
        <v>1862</v>
      </c>
      <c r="H1856" t="s">
        <v>1863</v>
      </c>
      <c r="J1856" t="s">
        <v>1869</v>
      </c>
    </row>
    <row r="1857" spans="1:10">
      <c r="A1857" s="1">
        <f>HYPERLINK("https://cms.ls-nyc.org/matter/dynamic-profile/view/1856912","18-1856912")</f>
        <v>0</v>
      </c>
      <c r="B1857" t="s">
        <v>10</v>
      </c>
      <c r="C1857" t="s">
        <v>16</v>
      </c>
      <c r="D1857" t="s">
        <v>1503</v>
      </c>
      <c r="E1857" t="s">
        <v>1815</v>
      </c>
      <c r="F1857" t="s">
        <v>1853</v>
      </c>
      <c r="G1857" t="s">
        <v>1862</v>
      </c>
      <c r="J1857" t="s">
        <v>1867</v>
      </c>
    </row>
    <row r="1858" spans="1:10">
      <c r="A1858" s="1">
        <f>HYPERLINK("https://cms.ls-nyc.org/matter/dynamic-profile/view/1857541","18-1857541")</f>
        <v>0</v>
      </c>
      <c r="B1858" t="s">
        <v>10</v>
      </c>
      <c r="C1858" t="s">
        <v>16</v>
      </c>
      <c r="D1858" t="s">
        <v>1504</v>
      </c>
      <c r="E1858" t="s">
        <v>1815</v>
      </c>
      <c r="F1858" t="s">
        <v>1853</v>
      </c>
      <c r="G1858" t="s">
        <v>1862</v>
      </c>
      <c r="J1858" t="s">
        <v>1867</v>
      </c>
    </row>
    <row r="1859" spans="1:10">
      <c r="A1859" s="1">
        <f>HYPERLINK("https://cms.ls-nyc.org/matter/dynamic-profile/view/1889636","19-1889636")</f>
        <v>0</v>
      </c>
      <c r="B1859" t="s">
        <v>11</v>
      </c>
      <c r="C1859" t="s">
        <v>18</v>
      </c>
      <c r="D1859" t="s">
        <v>129</v>
      </c>
      <c r="E1859" t="s">
        <v>1809</v>
      </c>
      <c r="F1859" t="s">
        <v>1855</v>
      </c>
      <c r="G1859" t="s">
        <v>1862</v>
      </c>
      <c r="H1859" t="s">
        <v>1863</v>
      </c>
      <c r="J1859" t="s">
        <v>1871</v>
      </c>
    </row>
    <row r="1860" spans="1:10">
      <c r="A1860" s="1">
        <f>HYPERLINK("https://cms.ls-nyc.org/matter/dynamic-profile/view/1857328","18-1857328")</f>
        <v>0</v>
      </c>
      <c r="B1860" t="s">
        <v>10</v>
      </c>
      <c r="C1860" t="s">
        <v>16</v>
      </c>
      <c r="D1860" t="s">
        <v>253</v>
      </c>
      <c r="E1860" t="s">
        <v>1807</v>
      </c>
      <c r="F1860" t="s">
        <v>1853</v>
      </c>
      <c r="G1860" t="s">
        <v>1862</v>
      </c>
      <c r="H1860" t="s">
        <v>1863</v>
      </c>
      <c r="J1860" t="s">
        <v>1869</v>
      </c>
    </row>
    <row r="1861" spans="1:10">
      <c r="A1861" s="1">
        <f>HYPERLINK("https://cms.ls-nyc.org/matter/dynamic-profile/view/1857471","18-1857471")</f>
        <v>0</v>
      </c>
      <c r="B1861" t="s">
        <v>13</v>
      </c>
      <c r="C1861" t="s">
        <v>43</v>
      </c>
      <c r="D1861" t="s">
        <v>1505</v>
      </c>
      <c r="E1861" t="s">
        <v>1827</v>
      </c>
      <c r="F1861" t="s">
        <v>1853</v>
      </c>
      <c r="G1861" t="s">
        <v>1862</v>
      </c>
      <c r="H1861" t="s">
        <v>1863</v>
      </c>
      <c r="J1861" t="s">
        <v>1869</v>
      </c>
    </row>
    <row r="1862" spans="1:10">
      <c r="A1862" s="1">
        <f>HYPERLINK("https://cms.ls-nyc.org/matter/dynamic-profile/view/1853857","17-1853857")</f>
        <v>0</v>
      </c>
      <c r="B1862" t="s">
        <v>13</v>
      </c>
      <c r="C1862" t="s">
        <v>43</v>
      </c>
      <c r="D1862" t="s">
        <v>1506</v>
      </c>
      <c r="E1862" t="s">
        <v>1809</v>
      </c>
      <c r="F1862" t="s">
        <v>1855</v>
      </c>
      <c r="G1862" t="s">
        <v>1862</v>
      </c>
      <c r="H1862" t="s">
        <v>1863</v>
      </c>
      <c r="J1862" t="s">
        <v>1871</v>
      </c>
    </row>
    <row r="1863" spans="1:10">
      <c r="A1863" s="1">
        <f>HYPERLINK("https://cms.ls-nyc.org/matter/dynamic-profile/view/1857090","18-1857090")</f>
        <v>0</v>
      </c>
      <c r="B1863" t="s">
        <v>13</v>
      </c>
      <c r="C1863" t="s">
        <v>29</v>
      </c>
      <c r="D1863" t="s">
        <v>1507</v>
      </c>
      <c r="E1863" t="s">
        <v>1809</v>
      </c>
      <c r="F1863" t="s">
        <v>1855</v>
      </c>
      <c r="G1863" t="s">
        <v>1862</v>
      </c>
      <c r="H1863" t="s">
        <v>1863</v>
      </c>
      <c r="J1863" t="s">
        <v>1870</v>
      </c>
    </row>
    <row r="1864" spans="1:10">
      <c r="A1864" s="1">
        <f>HYPERLINK("https://cms.ls-nyc.org/matter/dynamic-profile/view/1857097","18-1857097")</f>
        <v>0</v>
      </c>
      <c r="B1864" t="s">
        <v>13</v>
      </c>
      <c r="C1864" t="s">
        <v>29</v>
      </c>
      <c r="D1864" t="s">
        <v>1508</v>
      </c>
      <c r="E1864" t="s">
        <v>1809</v>
      </c>
      <c r="F1864" t="s">
        <v>1855</v>
      </c>
      <c r="G1864" t="s">
        <v>1862</v>
      </c>
      <c r="H1864" t="s">
        <v>1863</v>
      </c>
      <c r="J1864" t="s">
        <v>1870</v>
      </c>
    </row>
    <row r="1865" spans="1:10">
      <c r="A1865" s="1">
        <f>HYPERLINK("https://cms.ls-nyc.org/matter/dynamic-profile/view/1856933","18-1856933")</f>
        <v>0</v>
      </c>
      <c r="B1865" t="s">
        <v>14</v>
      </c>
      <c r="C1865" t="s">
        <v>28</v>
      </c>
      <c r="D1865" t="s">
        <v>1509</v>
      </c>
      <c r="E1865" t="s">
        <v>1800</v>
      </c>
      <c r="F1865" t="s">
        <v>1853</v>
      </c>
      <c r="G1865" t="s">
        <v>1862</v>
      </c>
      <c r="H1865" t="s">
        <v>1863</v>
      </c>
      <c r="J1865" t="s">
        <v>1867</v>
      </c>
    </row>
    <row r="1866" spans="1:10">
      <c r="A1866" s="1">
        <f>HYPERLINK("https://cms.ls-nyc.org/matter/dynamic-profile/view/1856186","18-1856186")</f>
        <v>0</v>
      </c>
      <c r="B1866" t="s">
        <v>13</v>
      </c>
      <c r="C1866" t="s">
        <v>29</v>
      </c>
      <c r="D1866" t="s">
        <v>706</v>
      </c>
      <c r="E1866" t="s">
        <v>1828</v>
      </c>
      <c r="F1866" t="s">
        <v>1853</v>
      </c>
      <c r="G1866" t="s">
        <v>1862</v>
      </c>
      <c r="H1866" t="s">
        <v>1863</v>
      </c>
      <c r="J1866" t="s">
        <v>1869</v>
      </c>
    </row>
    <row r="1867" spans="1:10">
      <c r="A1867" s="1">
        <f>HYPERLINK("https://cms.ls-nyc.org/matter/dynamic-profile/view/1856261","18-1856261")</f>
        <v>0</v>
      </c>
      <c r="B1867" t="s">
        <v>13</v>
      </c>
      <c r="C1867" t="s">
        <v>29</v>
      </c>
      <c r="D1867" t="s">
        <v>1510</v>
      </c>
      <c r="E1867" t="s">
        <v>1809</v>
      </c>
      <c r="F1867" t="s">
        <v>1855</v>
      </c>
      <c r="G1867" t="s">
        <v>1862</v>
      </c>
      <c r="H1867" t="s">
        <v>1863</v>
      </c>
      <c r="J1867" t="s">
        <v>1870</v>
      </c>
    </row>
    <row r="1868" spans="1:10">
      <c r="A1868" s="1">
        <f>HYPERLINK("https://cms.ls-nyc.org/matter/dynamic-profile/view/1856264","18-1856264")</f>
        <v>0</v>
      </c>
      <c r="B1868" t="s">
        <v>13</v>
      </c>
      <c r="C1868" t="s">
        <v>29</v>
      </c>
      <c r="D1868" t="s">
        <v>1511</v>
      </c>
      <c r="E1868" t="s">
        <v>1809</v>
      </c>
      <c r="F1868" t="s">
        <v>1855</v>
      </c>
      <c r="G1868" t="s">
        <v>1862</v>
      </c>
      <c r="H1868" t="s">
        <v>1863</v>
      </c>
      <c r="J1868" t="s">
        <v>1870</v>
      </c>
    </row>
    <row r="1869" spans="1:10">
      <c r="A1869" s="1">
        <f>HYPERLINK("https://cms.ls-nyc.org/matter/dynamic-profile/view/1856886","18-1856886")</f>
        <v>0</v>
      </c>
      <c r="B1869" t="s">
        <v>15</v>
      </c>
      <c r="C1869" t="s">
        <v>34</v>
      </c>
      <c r="D1869" t="s">
        <v>1512</v>
      </c>
      <c r="E1869" t="s">
        <v>1845</v>
      </c>
      <c r="F1869" t="s">
        <v>1853</v>
      </c>
      <c r="G1869" t="s">
        <v>1862</v>
      </c>
      <c r="H1869" t="s">
        <v>1863</v>
      </c>
      <c r="J1869" t="s">
        <v>1867</v>
      </c>
    </row>
    <row r="1870" spans="1:10">
      <c r="A1870" s="1">
        <f>HYPERLINK("https://cms.ls-nyc.org/matter/dynamic-profile/view/1856887","18-1856887")</f>
        <v>0</v>
      </c>
      <c r="B1870" t="s">
        <v>15</v>
      </c>
      <c r="C1870" t="s">
        <v>34</v>
      </c>
      <c r="D1870" t="s">
        <v>1513</v>
      </c>
      <c r="E1870" t="s">
        <v>1845</v>
      </c>
      <c r="F1870" t="s">
        <v>1853</v>
      </c>
      <c r="G1870" t="s">
        <v>1862</v>
      </c>
      <c r="H1870" t="s">
        <v>1863</v>
      </c>
      <c r="J1870" t="s">
        <v>1867</v>
      </c>
    </row>
    <row r="1871" spans="1:10">
      <c r="A1871" s="1">
        <f>HYPERLINK("https://cms.ls-nyc.org/matter/dynamic-profile/view/1856963","18-1856963")</f>
        <v>0</v>
      </c>
      <c r="B1871" t="s">
        <v>10</v>
      </c>
      <c r="C1871" t="s">
        <v>16</v>
      </c>
      <c r="D1871" t="s">
        <v>1514</v>
      </c>
      <c r="E1871" t="s">
        <v>1815</v>
      </c>
      <c r="F1871" t="s">
        <v>1853</v>
      </c>
      <c r="G1871" t="s">
        <v>1862</v>
      </c>
      <c r="H1871" t="s">
        <v>1863</v>
      </c>
      <c r="J1871" t="s">
        <v>1867</v>
      </c>
    </row>
    <row r="1872" spans="1:10">
      <c r="A1872" s="1">
        <f>HYPERLINK("https://cms.ls-nyc.org/matter/dynamic-profile/view/1856998","18-1856998")</f>
        <v>0</v>
      </c>
      <c r="B1872" t="s">
        <v>15</v>
      </c>
      <c r="C1872" t="s">
        <v>56</v>
      </c>
      <c r="D1872" t="s">
        <v>1515</v>
      </c>
      <c r="E1872" t="s">
        <v>1803</v>
      </c>
      <c r="F1872" t="s">
        <v>1855</v>
      </c>
      <c r="G1872" t="s">
        <v>1862</v>
      </c>
      <c r="H1872" t="s">
        <v>1863</v>
      </c>
      <c r="J1872" t="s">
        <v>1870</v>
      </c>
    </row>
    <row r="1873" spans="1:10">
      <c r="A1873" s="1">
        <f>HYPERLINK("https://cms.ls-nyc.org/matter/dynamic-profile/view/1856753","18-1856753")</f>
        <v>0</v>
      </c>
      <c r="B1873" t="s">
        <v>11</v>
      </c>
      <c r="C1873" t="s">
        <v>41</v>
      </c>
      <c r="D1873" t="s">
        <v>1516</v>
      </c>
      <c r="E1873" t="s">
        <v>1815</v>
      </c>
      <c r="F1873" t="s">
        <v>1858</v>
      </c>
      <c r="G1873" t="s">
        <v>1862</v>
      </c>
      <c r="J1873" t="s">
        <v>1868</v>
      </c>
    </row>
    <row r="1874" spans="1:10">
      <c r="A1874" s="1">
        <f>HYPERLINK("https://cms.ls-nyc.org/matter/dynamic-profile/view/1856851","18-1856851")</f>
        <v>0</v>
      </c>
      <c r="B1874" t="s">
        <v>12</v>
      </c>
      <c r="C1874" t="s">
        <v>40</v>
      </c>
      <c r="D1874" t="s">
        <v>1333</v>
      </c>
      <c r="E1874" t="s">
        <v>1819</v>
      </c>
      <c r="F1874" t="s">
        <v>1853</v>
      </c>
      <c r="G1874" t="s">
        <v>1862</v>
      </c>
      <c r="H1874" t="s">
        <v>1863</v>
      </c>
      <c r="J1874" t="s">
        <v>1867</v>
      </c>
    </row>
    <row r="1875" spans="1:10">
      <c r="A1875" s="1">
        <f>HYPERLINK("https://cms.ls-nyc.org/matter/dynamic-profile/view/1856628","18-1856628")</f>
        <v>0</v>
      </c>
      <c r="B1875" t="s">
        <v>10</v>
      </c>
      <c r="C1875" t="s">
        <v>16</v>
      </c>
      <c r="D1875" t="s">
        <v>1517</v>
      </c>
      <c r="E1875" t="s">
        <v>1815</v>
      </c>
      <c r="F1875" t="s">
        <v>1853</v>
      </c>
      <c r="G1875" t="s">
        <v>1862</v>
      </c>
      <c r="H1875" t="s">
        <v>1863</v>
      </c>
      <c r="J1875" t="s">
        <v>1869</v>
      </c>
    </row>
    <row r="1876" spans="1:10">
      <c r="A1876" s="1">
        <f>HYPERLINK("https://cms.ls-nyc.org/matter/dynamic-profile/view/1856476","18-1856476")</f>
        <v>0</v>
      </c>
      <c r="B1876" t="s">
        <v>10</v>
      </c>
      <c r="C1876" t="s">
        <v>16</v>
      </c>
      <c r="D1876" t="s">
        <v>1518</v>
      </c>
      <c r="E1876" t="s">
        <v>1815</v>
      </c>
      <c r="F1876" t="s">
        <v>1858</v>
      </c>
      <c r="G1876" t="s">
        <v>1862</v>
      </c>
      <c r="J1876" t="s">
        <v>1868</v>
      </c>
    </row>
    <row r="1877" spans="1:10">
      <c r="A1877" s="1">
        <f>HYPERLINK("https://cms.ls-nyc.org/matter/dynamic-profile/view/1856578","18-1856578")</f>
        <v>0</v>
      </c>
      <c r="B1877" t="s">
        <v>11</v>
      </c>
      <c r="C1877" t="s">
        <v>32</v>
      </c>
      <c r="D1877" t="s">
        <v>1519</v>
      </c>
      <c r="E1877" t="s">
        <v>1804</v>
      </c>
      <c r="F1877" t="s">
        <v>1853</v>
      </c>
      <c r="G1877" t="s">
        <v>1862</v>
      </c>
      <c r="H1877" t="s">
        <v>1863</v>
      </c>
      <c r="J1877" t="s">
        <v>1867</v>
      </c>
    </row>
    <row r="1878" spans="1:10">
      <c r="A1878" s="1">
        <f>HYPERLINK("https://cms.ls-nyc.org/matter/dynamic-profile/view/1856469","18-1856469")</f>
        <v>0</v>
      </c>
      <c r="B1878" t="s">
        <v>12</v>
      </c>
      <c r="C1878" t="s">
        <v>21</v>
      </c>
      <c r="D1878" t="s">
        <v>1520</v>
      </c>
      <c r="E1878" t="s">
        <v>1816</v>
      </c>
      <c r="F1878" t="s">
        <v>1853</v>
      </c>
      <c r="G1878" t="s">
        <v>1862</v>
      </c>
      <c r="H1878" t="s">
        <v>1863</v>
      </c>
      <c r="J1878" t="s">
        <v>1869</v>
      </c>
    </row>
    <row r="1879" spans="1:10">
      <c r="A1879" s="1">
        <f>HYPERLINK("https://cms.ls-nyc.org/matter/dynamic-profile/view/1856514","18-1856514")</f>
        <v>0</v>
      </c>
      <c r="B1879" t="s">
        <v>12</v>
      </c>
      <c r="C1879" t="s">
        <v>40</v>
      </c>
      <c r="D1879" t="s">
        <v>1521</v>
      </c>
      <c r="E1879" t="s">
        <v>1810</v>
      </c>
      <c r="G1879" t="s">
        <v>1862</v>
      </c>
      <c r="H1879" t="s">
        <v>1863</v>
      </c>
      <c r="J1879" t="s">
        <v>1869</v>
      </c>
    </row>
    <row r="1880" spans="1:10">
      <c r="A1880" s="1">
        <f>HYPERLINK("https://cms.ls-nyc.org/matter/dynamic-profile/view/1856534","18-1856534")</f>
        <v>0</v>
      </c>
      <c r="B1880" t="s">
        <v>10</v>
      </c>
      <c r="C1880" t="s">
        <v>16</v>
      </c>
      <c r="D1880" t="s">
        <v>1356</v>
      </c>
      <c r="E1880" t="s">
        <v>1815</v>
      </c>
      <c r="F1880" t="s">
        <v>1853</v>
      </c>
      <c r="G1880" t="s">
        <v>1862</v>
      </c>
      <c r="J1880" t="s">
        <v>1867</v>
      </c>
    </row>
    <row r="1881" spans="1:10">
      <c r="A1881" s="1">
        <f>HYPERLINK("https://cms.ls-nyc.org/matter/dynamic-profile/view/1856545","18-1856545")</f>
        <v>0</v>
      </c>
      <c r="B1881" t="s">
        <v>10</v>
      </c>
      <c r="C1881" t="s">
        <v>17</v>
      </c>
      <c r="D1881" t="s">
        <v>1522</v>
      </c>
      <c r="E1881" t="s">
        <v>1825</v>
      </c>
      <c r="F1881" t="s">
        <v>1853</v>
      </c>
      <c r="G1881" t="s">
        <v>1862</v>
      </c>
      <c r="H1881" t="s">
        <v>1863</v>
      </c>
      <c r="J1881" t="s">
        <v>1869</v>
      </c>
    </row>
    <row r="1882" spans="1:10">
      <c r="A1882" s="1">
        <f>HYPERLINK("https://cms.ls-nyc.org/matter/dynamic-profile/view/1856548","18-1856548")</f>
        <v>0</v>
      </c>
      <c r="B1882" t="s">
        <v>15</v>
      </c>
      <c r="C1882" t="s">
        <v>34</v>
      </c>
      <c r="D1882" t="s">
        <v>1523</v>
      </c>
      <c r="E1882" t="s">
        <v>1803</v>
      </c>
      <c r="F1882" t="s">
        <v>1855</v>
      </c>
      <c r="G1882" t="s">
        <v>1862</v>
      </c>
      <c r="H1882" t="s">
        <v>1863</v>
      </c>
      <c r="J1882" t="s">
        <v>1871</v>
      </c>
    </row>
    <row r="1883" spans="1:10">
      <c r="A1883" s="1">
        <f>HYPERLINK("https://cms.ls-nyc.org/matter/dynamic-profile/view/1856590","18-1856590")</f>
        <v>0</v>
      </c>
      <c r="B1883" t="s">
        <v>12</v>
      </c>
      <c r="C1883" t="s">
        <v>33</v>
      </c>
      <c r="D1883" t="s">
        <v>1524</v>
      </c>
      <c r="E1883" t="s">
        <v>1847</v>
      </c>
      <c r="F1883" t="s">
        <v>1853</v>
      </c>
      <c r="G1883" t="s">
        <v>1862</v>
      </c>
      <c r="H1883" t="s">
        <v>1863</v>
      </c>
      <c r="J1883" t="s">
        <v>1869</v>
      </c>
    </row>
    <row r="1884" spans="1:10">
      <c r="A1884" s="1">
        <f>HYPERLINK("https://cms.ls-nyc.org/matter/dynamic-profile/view/1856285","18-1856285")</f>
        <v>0</v>
      </c>
      <c r="B1884" t="s">
        <v>11</v>
      </c>
      <c r="C1884" t="s">
        <v>41</v>
      </c>
      <c r="D1884" t="s">
        <v>1525</v>
      </c>
      <c r="E1884" t="s">
        <v>1815</v>
      </c>
      <c r="F1884" t="s">
        <v>1858</v>
      </c>
      <c r="G1884" t="s">
        <v>1862</v>
      </c>
      <c r="H1884" t="s">
        <v>1864</v>
      </c>
      <c r="J1884" t="s">
        <v>1868</v>
      </c>
    </row>
    <row r="1885" spans="1:10">
      <c r="A1885" s="1">
        <f>HYPERLINK("https://cms.ls-nyc.org/matter/dynamic-profile/view/1848964","17-1848964")</f>
        <v>0</v>
      </c>
      <c r="B1885" t="s">
        <v>12</v>
      </c>
      <c r="C1885" t="s">
        <v>49</v>
      </c>
      <c r="D1885" t="s">
        <v>1526</v>
      </c>
      <c r="E1885" t="s">
        <v>1815</v>
      </c>
      <c r="F1885" t="s">
        <v>1853</v>
      </c>
      <c r="G1885" t="s">
        <v>1862</v>
      </c>
      <c r="J1885" t="s">
        <v>1869</v>
      </c>
    </row>
    <row r="1886" spans="1:10">
      <c r="A1886" s="1">
        <f>HYPERLINK("https://cms.ls-nyc.org/matter/dynamic-profile/view/1856338","18-1856338")</f>
        <v>0</v>
      </c>
      <c r="B1886" t="s">
        <v>11</v>
      </c>
      <c r="C1886" t="s">
        <v>41</v>
      </c>
      <c r="D1886" t="s">
        <v>1527</v>
      </c>
      <c r="E1886" t="s">
        <v>1815</v>
      </c>
      <c r="F1886" t="s">
        <v>1853</v>
      </c>
      <c r="G1886" t="s">
        <v>1862</v>
      </c>
      <c r="H1886" t="s">
        <v>1863</v>
      </c>
      <c r="J1886" t="s">
        <v>1867</v>
      </c>
    </row>
    <row r="1887" spans="1:10">
      <c r="A1887" s="1">
        <f>HYPERLINK("https://cms.ls-nyc.org/matter/dynamic-profile/view/1856367","18-1856367")</f>
        <v>0</v>
      </c>
      <c r="B1887" t="s">
        <v>11</v>
      </c>
      <c r="C1887" t="s">
        <v>32</v>
      </c>
      <c r="D1887" t="s">
        <v>667</v>
      </c>
      <c r="E1887" t="s">
        <v>1805</v>
      </c>
      <c r="F1887" t="s">
        <v>1853</v>
      </c>
      <c r="G1887" t="s">
        <v>1862</v>
      </c>
      <c r="H1887" t="s">
        <v>1863</v>
      </c>
      <c r="J1887" t="s">
        <v>1869</v>
      </c>
    </row>
    <row r="1888" spans="1:10">
      <c r="A1888" s="1">
        <f>HYPERLINK("https://cms.ls-nyc.org/matter/dynamic-profile/view/1856250","18-1856250")</f>
        <v>0</v>
      </c>
      <c r="B1888" t="s">
        <v>15</v>
      </c>
      <c r="C1888" t="s">
        <v>34</v>
      </c>
      <c r="D1888" t="s">
        <v>1376</v>
      </c>
      <c r="E1888" t="s">
        <v>1802</v>
      </c>
      <c r="F1888" t="s">
        <v>1853</v>
      </c>
      <c r="G1888" t="s">
        <v>1862</v>
      </c>
      <c r="H1888" t="s">
        <v>1863</v>
      </c>
      <c r="J1888" t="s">
        <v>1869</v>
      </c>
    </row>
    <row r="1889" spans="1:10">
      <c r="A1889" s="1">
        <f>HYPERLINK("https://cms.ls-nyc.org/matter/dynamic-profile/view/1856030","18-1856030")</f>
        <v>0</v>
      </c>
      <c r="B1889" t="s">
        <v>12</v>
      </c>
      <c r="C1889" t="s">
        <v>21</v>
      </c>
      <c r="D1889" t="s">
        <v>1528</v>
      </c>
      <c r="E1889" t="s">
        <v>1804</v>
      </c>
      <c r="F1889" t="s">
        <v>1853</v>
      </c>
      <c r="G1889" t="s">
        <v>1862</v>
      </c>
      <c r="H1889" t="s">
        <v>1863</v>
      </c>
      <c r="J1889" t="s">
        <v>1869</v>
      </c>
    </row>
    <row r="1890" spans="1:10">
      <c r="A1890" s="1">
        <f>HYPERLINK("https://cms.ls-nyc.org/matter/dynamic-profile/view/1856040","18-1856040")</f>
        <v>0</v>
      </c>
      <c r="B1890" t="s">
        <v>15</v>
      </c>
      <c r="C1890" t="s">
        <v>34</v>
      </c>
      <c r="D1890" t="s">
        <v>1529</v>
      </c>
      <c r="E1890" t="s">
        <v>1835</v>
      </c>
      <c r="F1890" t="s">
        <v>1853</v>
      </c>
      <c r="G1890" t="s">
        <v>1862</v>
      </c>
      <c r="H1890" t="s">
        <v>1863</v>
      </c>
      <c r="J1890" t="s">
        <v>1867</v>
      </c>
    </row>
    <row r="1891" spans="1:10">
      <c r="A1891" s="1">
        <f>HYPERLINK("https://cms.ls-nyc.org/matter/dynamic-profile/view/1856037","18-1856037")</f>
        <v>0</v>
      </c>
      <c r="B1891" t="s">
        <v>12</v>
      </c>
      <c r="C1891" t="s">
        <v>49</v>
      </c>
      <c r="D1891" t="s">
        <v>1445</v>
      </c>
      <c r="E1891" t="s">
        <v>1819</v>
      </c>
      <c r="F1891" t="s">
        <v>1853</v>
      </c>
      <c r="G1891" t="s">
        <v>1862</v>
      </c>
      <c r="J1891" t="s">
        <v>1867</v>
      </c>
    </row>
    <row r="1892" spans="1:10">
      <c r="A1892" s="1">
        <f>HYPERLINK("https://cms.ls-nyc.org/matter/dynamic-profile/view/1856077","18-1856077")</f>
        <v>0</v>
      </c>
      <c r="B1892" t="s">
        <v>10</v>
      </c>
      <c r="C1892" t="s">
        <v>16</v>
      </c>
      <c r="D1892" t="s">
        <v>1530</v>
      </c>
      <c r="E1892" t="s">
        <v>1815</v>
      </c>
      <c r="F1892" t="s">
        <v>1853</v>
      </c>
      <c r="G1892" t="s">
        <v>1862</v>
      </c>
      <c r="H1892" t="s">
        <v>1863</v>
      </c>
      <c r="J1892" t="s">
        <v>1867</v>
      </c>
    </row>
    <row r="1893" spans="1:10">
      <c r="A1893" s="1">
        <f>HYPERLINK("https://cms.ls-nyc.org/matter/dynamic-profile/view/1855822","18-1855822")</f>
        <v>0</v>
      </c>
      <c r="B1893" t="s">
        <v>11</v>
      </c>
      <c r="C1893" t="s">
        <v>32</v>
      </c>
      <c r="D1893" t="s">
        <v>234</v>
      </c>
      <c r="E1893" t="s">
        <v>1804</v>
      </c>
      <c r="F1893" t="s">
        <v>1853</v>
      </c>
      <c r="G1893" t="s">
        <v>1862</v>
      </c>
      <c r="H1893" t="s">
        <v>1863</v>
      </c>
      <c r="J1893" t="s">
        <v>1869</v>
      </c>
    </row>
    <row r="1894" spans="1:10">
      <c r="A1894" s="1">
        <f>HYPERLINK("https://cms.ls-nyc.org/matter/dynamic-profile/view/1855818","18-1855818")</f>
        <v>0</v>
      </c>
      <c r="B1894" t="s">
        <v>11</v>
      </c>
      <c r="C1894" t="s">
        <v>52</v>
      </c>
      <c r="D1894" t="s">
        <v>1531</v>
      </c>
      <c r="E1894" t="s">
        <v>1810</v>
      </c>
      <c r="F1894" t="s">
        <v>1856</v>
      </c>
      <c r="G1894" t="s">
        <v>1862</v>
      </c>
      <c r="H1894" t="s">
        <v>1864</v>
      </c>
      <c r="J1894" t="s">
        <v>1866</v>
      </c>
    </row>
    <row r="1895" spans="1:10">
      <c r="A1895" s="1">
        <f>HYPERLINK("https://cms.ls-nyc.org/matter/dynamic-profile/view/1855698","18-1855698")</f>
        <v>0</v>
      </c>
      <c r="B1895" t="s">
        <v>15</v>
      </c>
      <c r="C1895" t="s">
        <v>34</v>
      </c>
      <c r="D1895" t="s">
        <v>1532</v>
      </c>
      <c r="E1895" t="s">
        <v>1823</v>
      </c>
      <c r="F1895" t="s">
        <v>1853</v>
      </c>
      <c r="G1895" t="s">
        <v>1862</v>
      </c>
      <c r="H1895" t="s">
        <v>1863</v>
      </c>
      <c r="J1895" t="s">
        <v>1867</v>
      </c>
    </row>
    <row r="1896" spans="1:10">
      <c r="A1896" s="1">
        <f>HYPERLINK("https://cms.ls-nyc.org/matter/dynamic-profile/view/1855689","18-1855689")</f>
        <v>0</v>
      </c>
      <c r="B1896" t="s">
        <v>10</v>
      </c>
      <c r="C1896" t="s">
        <v>16</v>
      </c>
      <c r="D1896" t="s">
        <v>1533</v>
      </c>
      <c r="E1896" t="s">
        <v>1815</v>
      </c>
      <c r="F1896" t="s">
        <v>1853</v>
      </c>
      <c r="G1896" t="s">
        <v>1862</v>
      </c>
      <c r="H1896" t="s">
        <v>1863</v>
      </c>
      <c r="J1896" t="s">
        <v>1869</v>
      </c>
    </row>
    <row r="1897" spans="1:10">
      <c r="A1897" s="1">
        <f>HYPERLINK("https://cms.ls-nyc.org/matter/dynamic-profile/view/1855706","18-1855706")</f>
        <v>0</v>
      </c>
      <c r="B1897" t="s">
        <v>15</v>
      </c>
      <c r="C1897" t="s">
        <v>27</v>
      </c>
      <c r="D1897" t="s">
        <v>1534</v>
      </c>
      <c r="E1897" t="s">
        <v>1823</v>
      </c>
      <c r="F1897" t="s">
        <v>1853</v>
      </c>
      <c r="G1897" t="s">
        <v>1862</v>
      </c>
      <c r="H1897" t="s">
        <v>1863</v>
      </c>
      <c r="J1897" t="s">
        <v>1867</v>
      </c>
    </row>
    <row r="1898" spans="1:10">
      <c r="A1898" s="1">
        <f>HYPERLINK("https://cms.ls-nyc.org/matter/dynamic-profile/view/1855500","18-1855500")</f>
        <v>0</v>
      </c>
      <c r="B1898" t="s">
        <v>11</v>
      </c>
      <c r="C1898" t="s">
        <v>52</v>
      </c>
      <c r="D1898" t="s">
        <v>1535</v>
      </c>
      <c r="E1898" t="s">
        <v>1800</v>
      </c>
      <c r="F1898" t="s">
        <v>1858</v>
      </c>
      <c r="G1898" t="s">
        <v>1862</v>
      </c>
      <c r="H1898" t="s">
        <v>1864</v>
      </c>
      <c r="J1898" t="s">
        <v>1868</v>
      </c>
    </row>
    <row r="1899" spans="1:10">
      <c r="A1899" s="1">
        <f>HYPERLINK("https://cms.ls-nyc.org/matter/dynamic-profile/view/1855477","18-1855477")</f>
        <v>0</v>
      </c>
      <c r="B1899" t="s">
        <v>11</v>
      </c>
      <c r="C1899" t="s">
        <v>63</v>
      </c>
      <c r="D1899" t="s">
        <v>1536</v>
      </c>
      <c r="E1899" t="s">
        <v>1807</v>
      </c>
      <c r="G1899" t="s">
        <v>1862</v>
      </c>
      <c r="J1899" t="s">
        <v>1868</v>
      </c>
    </row>
    <row r="1900" spans="1:10">
      <c r="A1900" s="1">
        <f>HYPERLINK("https://cms.ls-nyc.org/matter/dynamic-profile/view/1855513","18-1855513")</f>
        <v>0</v>
      </c>
      <c r="B1900" t="s">
        <v>10</v>
      </c>
      <c r="C1900" t="s">
        <v>16</v>
      </c>
      <c r="D1900" t="s">
        <v>1537</v>
      </c>
      <c r="E1900" t="s">
        <v>1807</v>
      </c>
      <c r="F1900" t="s">
        <v>1853</v>
      </c>
      <c r="G1900" t="s">
        <v>1862</v>
      </c>
      <c r="H1900" t="s">
        <v>1863</v>
      </c>
      <c r="J1900" t="s">
        <v>1869</v>
      </c>
    </row>
    <row r="1901" spans="1:10">
      <c r="A1901" s="1">
        <f>HYPERLINK("https://cms.ls-nyc.org/matter/dynamic-profile/view/1855543","18-1855543")</f>
        <v>0</v>
      </c>
      <c r="B1901" t="s">
        <v>10</v>
      </c>
      <c r="C1901" t="s">
        <v>16</v>
      </c>
      <c r="D1901" t="s">
        <v>1538</v>
      </c>
      <c r="E1901" t="s">
        <v>1825</v>
      </c>
      <c r="F1901" t="s">
        <v>1853</v>
      </c>
      <c r="G1901" t="s">
        <v>1862</v>
      </c>
      <c r="J1901" t="s">
        <v>1867</v>
      </c>
    </row>
    <row r="1902" spans="1:10">
      <c r="A1902" s="1">
        <f>HYPERLINK("https://cms.ls-nyc.org/matter/dynamic-profile/view/1855605","18-1855605")</f>
        <v>0</v>
      </c>
      <c r="B1902" t="s">
        <v>10</v>
      </c>
      <c r="C1902" t="s">
        <v>16</v>
      </c>
      <c r="D1902" t="s">
        <v>512</v>
      </c>
      <c r="E1902" t="s">
        <v>1825</v>
      </c>
      <c r="F1902" t="s">
        <v>1853</v>
      </c>
      <c r="G1902" t="s">
        <v>1862</v>
      </c>
      <c r="H1902" t="s">
        <v>1863</v>
      </c>
      <c r="J1902" t="s">
        <v>1869</v>
      </c>
    </row>
    <row r="1903" spans="1:10">
      <c r="A1903" s="1">
        <f>HYPERLINK("https://cms.ls-nyc.org/matter/dynamic-profile/view/1855394","18-1855394")</f>
        <v>0</v>
      </c>
      <c r="B1903" t="s">
        <v>10</v>
      </c>
      <c r="C1903" t="s">
        <v>30</v>
      </c>
      <c r="D1903" t="s">
        <v>1539</v>
      </c>
      <c r="E1903" t="s">
        <v>1815</v>
      </c>
      <c r="F1903" t="s">
        <v>1858</v>
      </c>
      <c r="G1903" t="s">
        <v>1862</v>
      </c>
      <c r="H1903" t="s">
        <v>1863</v>
      </c>
      <c r="J1903" t="s">
        <v>1868</v>
      </c>
    </row>
    <row r="1904" spans="1:10">
      <c r="A1904" s="1">
        <f>HYPERLINK("https://cms.ls-nyc.org/matter/dynamic-profile/view/1852725","17-1852725")</f>
        <v>0</v>
      </c>
      <c r="B1904" t="s">
        <v>10</v>
      </c>
      <c r="C1904" t="s">
        <v>16</v>
      </c>
      <c r="D1904" t="s">
        <v>933</v>
      </c>
      <c r="E1904" t="s">
        <v>1815</v>
      </c>
      <c r="F1904" t="s">
        <v>1853</v>
      </c>
      <c r="G1904" t="s">
        <v>1862</v>
      </c>
      <c r="H1904" t="s">
        <v>1863</v>
      </c>
      <c r="J1904" t="s">
        <v>1869</v>
      </c>
    </row>
    <row r="1905" spans="1:10">
      <c r="A1905" s="1">
        <f>HYPERLINK("https://cms.ls-nyc.org/matter/dynamic-profile/view/1853018","17-1853018")</f>
        <v>0</v>
      </c>
      <c r="B1905" t="s">
        <v>13</v>
      </c>
      <c r="C1905" t="s">
        <v>43</v>
      </c>
      <c r="D1905" t="s">
        <v>1540</v>
      </c>
      <c r="E1905" t="s">
        <v>1809</v>
      </c>
      <c r="F1905" t="s">
        <v>1855</v>
      </c>
      <c r="G1905" t="s">
        <v>1862</v>
      </c>
      <c r="H1905" t="s">
        <v>1863</v>
      </c>
      <c r="J1905" t="s">
        <v>1871</v>
      </c>
    </row>
    <row r="1906" spans="1:10">
      <c r="A1906" s="1">
        <f>HYPERLINK("https://cms.ls-nyc.org/matter/dynamic-profile/view/1853057","17-1853057")</f>
        <v>0</v>
      </c>
      <c r="B1906" t="s">
        <v>13</v>
      </c>
      <c r="C1906" t="s">
        <v>29</v>
      </c>
      <c r="D1906" t="s">
        <v>1541</v>
      </c>
      <c r="E1906" t="s">
        <v>1810</v>
      </c>
      <c r="F1906" t="s">
        <v>1853</v>
      </c>
      <c r="G1906" t="s">
        <v>1862</v>
      </c>
      <c r="H1906" t="s">
        <v>1863</v>
      </c>
      <c r="J1906" t="s">
        <v>1869</v>
      </c>
    </row>
    <row r="1907" spans="1:10">
      <c r="A1907" s="1">
        <f>HYPERLINK("https://cms.ls-nyc.org/matter/dynamic-profile/view/1855379","18-1855379")</f>
        <v>0</v>
      </c>
      <c r="B1907" t="s">
        <v>10</v>
      </c>
      <c r="C1907" t="s">
        <v>16</v>
      </c>
      <c r="D1907" t="s">
        <v>1542</v>
      </c>
      <c r="E1907" t="s">
        <v>1807</v>
      </c>
      <c r="F1907" t="s">
        <v>1853</v>
      </c>
      <c r="G1907" t="s">
        <v>1862</v>
      </c>
      <c r="H1907" t="s">
        <v>1863</v>
      </c>
      <c r="J1907" t="s">
        <v>1869</v>
      </c>
    </row>
    <row r="1908" spans="1:10">
      <c r="A1908" s="1">
        <f>HYPERLINK("https://cms.ls-nyc.org/matter/dynamic-profile/view/1855257","18-1855257")</f>
        <v>0</v>
      </c>
      <c r="B1908" t="s">
        <v>11</v>
      </c>
      <c r="C1908" t="s">
        <v>52</v>
      </c>
      <c r="D1908" t="s">
        <v>1543</v>
      </c>
      <c r="E1908" t="s">
        <v>1800</v>
      </c>
      <c r="F1908" t="s">
        <v>1859</v>
      </c>
      <c r="G1908" t="s">
        <v>1862</v>
      </c>
      <c r="H1908" t="s">
        <v>1864</v>
      </c>
      <c r="J1908" t="s">
        <v>1868</v>
      </c>
    </row>
    <row r="1909" spans="1:10">
      <c r="A1909" s="1">
        <f>HYPERLINK("https://cms.ls-nyc.org/matter/dynamic-profile/view/1855291","18-1855291")</f>
        <v>0</v>
      </c>
      <c r="B1909" t="s">
        <v>12</v>
      </c>
      <c r="C1909" t="s">
        <v>33</v>
      </c>
      <c r="D1909" t="s">
        <v>528</v>
      </c>
      <c r="E1909" t="s">
        <v>1809</v>
      </c>
      <c r="F1909" t="s">
        <v>1855</v>
      </c>
      <c r="G1909" t="s">
        <v>1862</v>
      </c>
      <c r="J1909" t="s">
        <v>1871</v>
      </c>
    </row>
    <row r="1910" spans="1:10">
      <c r="A1910" s="1">
        <f>HYPERLINK("https://cms.ls-nyc.org/matter/dynamic-profile/view/1855082","18-1855082")</f>
        <v>0</v>
      </c>
      <c r="B1910" t="s">
        <v>15</v>
      </c>
      <c r="C1910" t="s">
        <v>34</v>
      </c>
      <c r="D1910" t="s">
        <v>1544</v>
      </c>
      <c r="E1910" t="s">
        <v>1803</v>
      </c>
      <c r="F1910" t="s">
        <v>1855</v>
      </c>
      <c r="G1910" t="s">
        <v>1862</v>
      </c>
      <c r="H1910" t="s">
        <v>1863</v>
      </c>
      <c r="J1910" t="s">
        <v>1871</v>
      </c>
    </row>
    <row r="1911" spans="1:10">
      <c r="A1911" s="1">
        <f>HYPERLINK("https://cms.ls-nyc.org/matter/dynamic-profile/view/1854936","18-1854936")</f>
        <v>0</v>
      </c>
      <c r="B1911" t="s">
        <v>10</v>
      </c>
      <c r="C1911" t="s">
        <v>16</v>
      </c>
      <c r="D1911" t="s">
        <v>1178</v>
      </c>
      <c r="E1911" t="s">
        <v>1815</v>
      </c>
      <c r="F1911" t="s">
        <v>1853</v>
      </c>
      <c r="G1911" t="s">
        <v>1862</v>
      </c>
      <c r="H1911" t="s">
        <v>1863</v>
      </c>
      <c r="J1911" t="s">
        <v>1869</v>
      </c>
    </row>
    <row r="1912" spans="1:10">
      <c r="A1912" s="1">
        <f>HYPERLINK("https://cms.ls-nyc.org/matter/dynamic-profile/view/1854957","18-1854957")</f>
        <v>0</v>
      </c>
      <c r="B1912" t="s">
        <v>12</v>
      </c>
      <c r="C1912" t="s">
        <v>49</v>
      </c>
      <c r="D1912" t="s">
        <v>1545</v>
      </c>
      <c r="E1912" t="s">
        <v>1815</v>
      </c>
      <c r="F1912" t="s">
        <v>1853</v>
      </c>
      <c r="G1912" t="s">
        <v>1862</v>
      </c>
      <c r="J1912" t="s">
        <v>1867</v>
      </c>
    </row>
    <row r="1913" spans="1:10">
      <c r="A1913" s="1">
        <f>HYPERLINK("https://cms.ls-nyc.org/matter/dynamic-profile/view/1854906","17-1854906")</f>
        <v>0</v>
      </c>
      <c r="B1913" t="s">
        <v>15</v>
      </c>
      <c r="C1913" t="s">
        <v>59</v>
      </c>
      <c r="D1913" t="s">
        <v>1546</v>
      </c>
      <c r="E1913" t="s">
        <v>1821</v>
      </c>
      <c r="F1913" t="s">
        <v>1853</v>
      </c>
      <c r="G1913" t="s">
        <v>1862</v>
      </c>
      <c r="H1913" t="s">
        <v>1863</v>
      </c>
      <c r="J1913" t="s">
        <v>1867</v>
      </c>
    </row>
    <row r="1914" spans="1:10">
      <c r="A1914" s="1">
        <f>HYPERLINK("https://cms.ls-nyc.org/matter/dynamic-profile/view/1854907","17-1854907")</f>
        <v>0</v>
      </c>
      <c r="B1914" t="s">
        <v>15</v>
      </c>
      <c r="C1914" t="s">
        <v>59</v>
      </c>
      <c r="D1914" t="s">
        <v>1546</v>
      </c>
      <c r="E1914" t="s">
        <v>1821</v>
      </c>
      <c r="F1914" t="s">
        <v>1853</v>
      </c>
      <c r="G1914" t="s">
        <v>1862</v>
      </c>
      <c r="H1914" t="s">
        <v>1863</v>
      </c>
      <c r="J1914" t="s">
        <v>1867</v>
      </c>
    </row>
    <row r="1915" spans="1:10">
      <c r="A1915" s="1">
        <f>HYPERLINK("https://cms.ls-nyc.org/matter/dynamic-profile/view/1854678","17-1854678")</f>
        <v>0</v>
      </c>
      <c r="B1915" t="s">
        <v>11</v>
      </c>
      <c r="C1915" t="s">
        <v>52</v>
      </c>
      <c r="D1915" t="s">
        <v>1547</v>
      </c>
      <c r="E1915" t="s">
        <v>1815</v>
      </c>
      <c r="F1915" t="s">
        <v>1858</v>
      </c>
      <c r="G1915" t="s">
        <v>1862</v>
      </c>
      <c r="H1915" t="s">
        <v>1864</v>
      </c>
      <c r="J1915" t="s">
        <v>1868</v>
      </c>
    </row>
    <row r="1916" spans="1:10">
      <c r="A1916" s="1">
        <f>HYPERLINK("https://cms.ls-nyc.org/matter/dynamic-profile/view/1854408","17-1854408")</f>
        <v>0</v>
      </c>
      <c r="B1916" t="s">
        <v>12</v>
      </c>
      <c r="C1916" t="s">
        <v>40</v>
      </c>
      <c r="D1916" t="s">
        <v>1548</v>
      </c>
      <c r="E1916" t="s">
        <v>1804</v>
      </c>
      <c r="G1916" t="s">
        <v>1862</v>
      </c>
      <c r="J1916" t="s">
        <v>1867</v>
      </c>
    </row>
    <row r="1917" spans="1:10">
      <c r="A1917" s="1">
        <f>HYPERLINK("https://cms.ls-nyc.org/matter/dynamic-profile/view/1854413","17-1854413")</f>
        <v>0</v>
      </c>
      <c r="B1917" t="s">
        <v>12</v>
      </c>
      <c r="C1917" t="s">
        <v>40</v>
      </c>
      <c r="D1917" t="s">
        <v>1548</v>
      </c>
      <c r="E1917" t="s">
        <v>1821</v>
      </c>
      <c r="F1917" t="s">
        <v>1853</v>
      </c>
      <c r="G1917" t="s">
        <v>1862</v>
      </c>
      <c r="J1917" t="s">
        <v>1868</v>
      </c>
    </row>
    <row r="1918" spans="1:10">
      <c r="A1918" s="1">
        <f>HYPERLINK("https://cms.ls-nyc.org/matter/dynamic-profile/view/1854415","17-1854415")</f>
        <v>0</v>
      </c>
      <c r="B1918" t="s">
        <v>12</v>
      </c>
      <c r="C1918" t="s">
        <v>40</v>
      </c>
      <c r="D1918" t="s">
        <v>1548</v>
      </c>
      <c r="E1918" t="s">
        <v>1838</v>
      </c>
      <c r="F1918" t="s">
        <v>1853</v>
      </c>
      <c r="G1918" t="s">
        <v>1862</v>
      </c>
      <c r="J1918" t="s">
        <v>1868</v>
      </c>
    </row>
    <row r="1919" spans="1:10">
      <c r="A1919" s="1">
        <f>HYPERLINK("https://cms.ls-nyc.org/matter/dynamic-profile/view/1854250","17-1854250")</f>
        <v>0</v>
      </c>
      <c r="B1919" t="s">
        <v>12</v>
      </c>
      <c r="C1919" t="s">
        <v>49</v>
      </c>
      <c r="D1919" t="s">
        <v>1447</v>
      </c>
      <c r="E1919" t="s">
        <v>1815</v>
      </c>
      <c r="F1919" t="s">
        <v>1853</v>
      </c>
      <c r="G1919" t="s">
        <v>1862</v>
      </c>
      <c r="J1919" t="s">
        <v>1867</v>
      </c>
    </row>
    <row r="1920" spans="1:10">
      <c r="A1920" s="1">
        <f>HYPERLINK("https://cms.ls-nyc.org/matter/dynamic-profile/view/1854223","17-1854223")</f>
        <v>0</v>
      </c>
      <c r="B1920" t="s">
        <v>13</v>
      </c>
      <c r="C1920" t="s">
        <v>24</v>
      </c>
      <c r="D1920" t="s">
        <v>957</v>
      </c>
      <c r="E1920" t="s">
        <v>1810</v>
      </c>
      <c r="F1920" t="s">
        <v>1853</v>
      </c>
      <c r="G1920" t="s">
        <v>1862</v>
      </c>
      <c r="H1920" t="s">
        <v>1863</v>
      </c>
      <c r="J1920" t="s">
        <v>1869</v>
      </c>
    </row>
    <row r="1921" spans="1:10">
      <c r="A1921" s="1">
        <f>HYPERLINK("https://cms.ls-nyc.org/matter/dynamic-profile/view/1854155","17-1854155")</f>
        <v>0</v>
      </c>
      <c r="B1921" t="s">
        <v>10</v>
      </c>
      <c r="C1921" t="s">
        <v>16</v>
      </c>
      <c r="D1921" t="s">
        <v>522</v>
      </c>
      <c r="E1921" t="s">
        <v>1815</v>
      </c>
      <c r="F1921" t="s">
        <v>1853</v>
      </c>
      <c r="G1921" t="s">
        <v>1862</v>
      </c>
      <c r="H1921" t="s">
        <v>1863</v>
      </c>
      <c r="J1921" t="s">
        <v>1867</v>
      </c>
    </row>
    <row r="1922" spans="1:10">
      <c r="A1922" s="1">
        <f>HYPERLINK("https://cms.ls-nyc.org/matter/dynamic-profile/view/1854178","17-1854178")</f>
        <v>0</v>
      </c>
      <c r="B1922" t="s">
        <v>13</v>
      </c>
      <c r="C1922" t="s">
        <v>43</v>
      </c>
      <c r="D1922" t="s">
        <v>1549</v>
      </c>
      <c r="E1922" t="s">
        <v>1807</v>
      </c>
      <c r="F1922" t="s">
        <v>1853</v>
      </c>
      <c r="G1922" t="s">
        <v>1862</v>
      </c>
      <c r="H1922" t="s">
        <v>1863</v>
      </c>
      <c r="J1922" t="s">
        <v>1869</v>
      </c>
    </row>
    <row r="1923" spans="1:10">
      <c r="A1923" s="1">
        <f>HYPERLINK("https://cms.ls-nyc.org/matter/dynamic-profile/view/1854195","17-1854195")</f>
        <v>0</v>
      </c>
      <c r="B1923" t="s">
        <v>10</v>
      </c>
      <c r="C1923" t="s">
        <v>16</v>
      </c>
      <c r="D1923" t="s">
        <v>1354</v>
      </c>
      <c r="E1923" t="s">
        <v>1815</v>
      </c>
      <c r="F1923" t="s">
        <v>1853</v>
      </c>
      <c r="G1923" t="s">
        <v>1862</v>
      </c>
      <c r="H1923" t="s">
        <v>1863</v>
      </c>
      <c r="J1923" t="s">
        <v>1867</v>
      </c>
    </row>
    <row r="1924" spans="1:10">
      <c r="A1924" s="1">
        <f>HYPERLINK("https://cms.ls-nyc.org/matter/dynamic-profile/view/1853962","17-1853962")</f>
        <v>0</v>
      </c>
      <c r="B1924" t="s">
        <v>14</v>
      </c>
      <c r="C1924" t="s">
        <v>28</v>
      </c>
      <c r="D1924" t="s">
        <v>1550</v>
      </c>
      <c r="E1924" t="s">
        <v>1821</v>
      </c>
      <c r="F1924" t="s">
        <v>1853</v>
      </c>
      <c r="G1924" t="s">
        <v>1862</v>
      </c>
      <c r="H1924" t="s">
        <v>1863</v>
      </c>
      <c r="J1924" t="s">
        <v>1867</v>
      </c>
    </row>
    <row r="1925" spans="1:10">
      <c r="A1925" s="1">
        <f>HYPERLINK("https://cms.ls-nyc.org/matter/dynamic-profile/view/1853979","17-1853979")</f>
        <v>0</v>
      </c>
      <c r="B1925" t="s">
        <v>12</v>
      </c>
      <c r="C1925" t="s">
        <v>49</v>
      </c>
      <c r="D1925" t="s">
        <v>1551</v>
      </c>
      <c r="E1925" t="s">
        <v>1821</v>
      </c>
      <c r="F1925" t="s">
        <v>1853</v>
      </c>
      <c r="G1925" t="s">
        <v>1862</v>
      </c>
      <c r="J1925" t="s">
        <v>1867</v>
      </c>
    </row>
    <row r="1926" spans="1:10">
      <c r="A1926" s="1">
        <f>HYPERLINK("https://cms.ls-nyc.org/matter/dynamic-profile/view/1853985","17-1853985")</f>
        <v>0</v>
      </c>
      <c r="B1926" t="s">
        <v>11</v>
      </c>
      <c r="C1926" t="s">
        <v>41</v>
      </c>
      <c r="D1926" t="s">
        <v>1552</v>
      </c>
      <c r="E1926" t="s">
        <v>1815</v>
      </c>
      <c r="F1926" t="s">
        <v>1853</v>
      </c>
      <c r="G1926" t="s">
        <v>1862</v>
      </c>
      <c r="H1926" t="s">
        <v>1863</v>
      </c>
      <c r="J1926" t="s">
        <v>1867</v>
      </c>
    </row>
    <row r="1927" spans="1:10">
      <c r="A1927" s="1">
        <f>HYPERLINK("https://cms.ls-nyc.org/matter/dynamic-profile/view/1854006","17-1854006")</f>
        <v>0</v>
      </c>
      <c r="B1927" t="s">
        <v>10</v>
      </c>
      <c r="C1927" t="s">
        <v>16</v>
      </c>
      <c r="D1927" t="s">
        <v>1553</v>
      </c>
      <c r="E1927" t="s">
        <v>1807</v>
      </c>
      <c r="F1927" t="s">
        <v>1853</v>
      </c>
      <c r="G1927" t="s">
        <v>1862</v>
      </c>
      <c r="H1927" t="s">
        <v>1863</v>
      </c>
      <c r="J1927" t="s">
        <v>1869</v>
      </c>
    </row>
    <row r="1928" spans="1:10">
      <c r="A1928" s="1">
        <f>HYPERLINK("https://cms.ls-nyc.org/matter/dynamic-profile/view/1854047","17-1854047")</f>
        <v>0</v>
      </c>
      <c r="B1928" t="s">
        <v>14</v>
      </c>
      <c r="C1928" t="s">
        <v>26</v>
      </c>
      <c r="D1928" t="s">
        <v>1554</v>
      </c>
      <c r="E1928" t="s">
        <v>1815</v>
      </c>
      <c r="F1928" t="s">
        <v>1858</v>
      </c>
      <c r="G1928" t="s">
        <v>1862</v>
      </c>
      <c r="H1928" t="s">
        <v>1863</v>
      </c>
      <c r="J1928" t="s">
        <v>1868</v>
      </c>
    </row>
    <row r="1929" spans="1:10">
      <c r="A1929" s="1">
        <f>HYPERLINK("https://cms.ls-nyc.org/matter/dynamic-profile/view/1853861","17-1853861")</f>
        <v>0</v>
      </c>
      <c r="B1929" t="s">
        <v>15</v>
      </c>
      <c r="C1929" t="s">
        <v>56</v>
      </c>
      <c r="D1929" t="s">
        <v>632</v>
      </c>
      <c r="E1929" t="s">
        <v>1823</v>
      </c>
      <c r="F1929" t="s">
        <v>1853</v>
      </c>
      <c r="G1929" t="s">
        <v>1862</v>
      </c>
      <c r="H1929" t="s">
        <v>1863</v>
      </c>
      <c r="J1929" t="s">
        <v>1867</v>
      </c>
    </row>
    <row r="1930" spans="1:10">
      <c r="A1930" s="1">
        <f>HYPERLINK("https://cms.ls-nyc.org/matter/dynamic-profile/view/1853862","17-1853862")</f>
        <v>0</v>
      </c>
      <c r="B1930" t="s">
        <v>15</v>
      </c>
      <c r="C1930" t="s">
        <v>56</v>
      </c>
      <c r="D1930" t="s">
        <v>1555</v>
      </c>
      <c r="E1930" t="s">
        <v>1821</v>
      </c>
      <c r="F1930" t="s">
        <v>1853</v>
      </c>
      <c r="G1930" t="s">
        <v>1862</v>
      </c>
      <c r="H1930" t="s">
        <v>1864</v>
      </c>
      <c r="J1930" t="s">
        <v>1867</v>
      </c>
    </row>
    <row r="1931" spans="1:10">
      <c r="A1931" s="1">
        <f>HYPERLINK("https://cms.ls-nyc.org/matter/dynamic-profile/view/1853863","17-1853863")</f>
        <v>0</v>
      </c>
      <c r="B1931" t="s">
        <v>15</v>
      </c>
      <c r="C1931" t="s">
        <v>56</v>
      </c>
      <c r="D1931" t="s">
        <v>1555</v>
      </c>
      <c r="E1931" t="s">
        <v>1823</v>
      </c>
      <c r="F1931" t="s">
        <v>1853</v>
      </c>
      <c r="G1931" t="s">
        <v>1862</v>
      </c>
      <c r="H1931" t="s">
        <v>1864</v>
      </c>
      <c r="J1931" t="s">
        <v>1867</v>
      </c>
    </row>
    <row r="1932" spans="1:10">
      <c r="A1932" s="1">
        <f>HYPERLINK("https://cms.ls-nyc.org/matter/dynamic-profile/view/1853956","17-1853956")</f>
        <v>0</v>
      </c>
      <c r="B1932" t="s">
        <v>12</v>
      </c>
      <c r="C1932" t="s">
        <v>40</v>
      </c>
      <c r="D1932" t="s">
        <v>1556</v>
      </c>
      <c r="E1932" t="s">
        <v>1816</v>
      </c>
      <c r="F1932" t="s">
        <v>1853</v>
      </c>
      <c r="G1932" t="s">
        <v>1862</v>
      </c>
      <c r="I1932" t="s">
        <v>1865</v>
      </c>
      <c r="J1932" t="s">
        <v>1866</v>
      </c>
    </row>
    <row r="1933" spans="1:10">
      <c r="A1933" s="1">
        <f>HYPERLINK("https://cms.ls-nyc.org/matter/dynamic-profile/view/1853953","17-1853953")</f>
        <v>0</v>
      </c>
      <c r="B1933" t="s">
        <v>12</v>
      </c>
      <c r="C1933" t="s">
        <v>40</v>
      </c>
      <c r="D1933" t="s">
        <v>1557</v>
      </c>
      <c r="E1933" t="s">
        <v>1816</v>
      </c>
      <c r="F1933" t="s">
        <v>1853</v>
      </c>
      <c r="G1933" t="s">
        <v>1862</v>
      </c>
      <c r="I1933" t="s">
        <v>1865</v>
      </c>
      <c r="J1933" t="s">
        <v>1866</v>
      </c>
    </row>
    <row r="1934" spans="1:10">
      <c r="A1934" s="1">
        <f>HYPERLINK("https://cms.ls-nyc.org/matter/dynamic-profile/view/1853948","17-1853948")</f>
        <v>0</v>
      </c>
      <c r="B1934" t="s">
        <v>10</v>
      </c>
      <c r="C1934" t="s">
        <v>16</v>
      </c>
      <c r="D1934" t="s">
        <v>1558</v>
      </c>
      <c r="E1934" t="s">
        <v>1807</v>
      </c>
      <c r="F1934" t="s">
        <v>1853</v>
      </c>
      <c r="G1934" t="s">
        <v>1862</v>
      </c>
      <c r="H1934" t="s">
        <v>1863</v>
      </c>
      <c r="J1934" t="s">
        <v>1869</v>
      </c>
    </row>
    <row r="1935" spans="1:10">
      <c r="A1935" s="1">
        <f>HYPERLINK("https://cms.ls-nyc.org/matter/dynamic-profile/view/1853828","17-1853828")</f>
        <v>0</v>
      </c>
      <c r="B1935" t="s">
        <v>10</v>
      </c>
      <c r="C1935" t="s">
        <v>16</v>
      </c>
      <c r="D1935" t="s">
        <v>1559</v>
      </c>
      <c r="E1935" t="s">
        <v>1807</v>
      </c>
      <c r="F1935" t="s">
        <v>1853</v>
      </c>
      <c r="G1935" t="s">
        <v>1862</v>
      </c>
      <c r="H1935" t="s">
        <v>1863</v>
      </c>
      <c r="J1935" t="s">
        <v>1869</v>
      </c>
    </row>
    <row r="1936" spans="1:10">
      <c r="A1936" s="1">
        <f>HYPERLINK("https://cms.ls-nyc.org/matter/dynamic-profile/view/1853837","17-1853837")</f>
        <v>0</v>
      </c>
      <c r="B1936" t="s">
        <v>10</v>
      </c>
      <c r="C1936" t="s">
        <v>16</v>
      </c>
      <c r="D1936" t="s">
        <v>1560</v>
      </c>
      <c r="E1936" t="s">
        <v>1807</v>
      </c>
      <c r="F1936" t="s">
        <v>1853</v>
      </c>
      <c r="G1936" t="s">
        <v>1862</v>
      </c>
      <c r="H1936" t="s">
        <v>1863</v>
      </c>
      <c r="J1936" t="s">
        <v>1869</v>
      </c>
    </row>
    <row r="1937" spans="1:10">
      <c r="A1937" s="1">
        <f>HYPERLINK("https://cms.ls-nyc.org/matter/dynamic-profile/view/1853845","17-1853845")</f>
        <v>0</v>
      </c>
      <c r="B1937" t="s">
        <v>14</v>
      </c>
      <c r="C1937" t="s">
        <v>42</v>
      </c>
      <c r="D1937" t="s">
        <v>628</v>
      </c>
      <c r="E1937" t="s">
        <v>1803</v>
      </c>
      <c r="F1937" t="s">
        <v>1855</v>
      </c>
      <c r="G1937" t="s">
        <v>1862</v>
      </c>
      <c r="H1937" t="s">
        <v>1863</v>
      </c>
      <c r="J1937" t="s">
        <v>1871</v>
      </c>
    </row>
    <row r="1938" spans="1:10">
      <c r="A1938" s="1">
        <f>HYPERLINK("https://cms.ls-nyc.org/matter/dynamic-profile/view/1853913","17-1853913")</f>
        <v>0</v>
      </c>
      <c r="B1938" t="s">
        <v>11</v>
      </c>
      <c r="C1938" t="s">
        <v>41</v>
      </c>
      <c r="D1938" t="s">
        <v>1561</v>
      </c>
      <c r="E1938" t="s">
        <v>1815</v>
      </c>
      <c r="F1938" t="s">
        <v>1853</v>
      </c>
      <c r="G1938" t="s">
        <v>1862</v>
      </c>
      <c r="H1938" t="s">
        <v>1863</v>
      </c>
      <c r="J1938" t="s">
        <v>1867</v>
      </c>
    </row>
    <row r="1939" spans="1:10">
      <c r="A1939" s="1">
        <f>HYPERLINK("https://cms.ls-nyc.org/matter/dynamic-profile/view/1854042","17-1854042")</f>
        <v>0</v>
      </c>
      <c r="B1939" t="s">
        <v>14</v>
      </c>
      <c r="C1939" t="s">
        <v>26</v>
      </c>
      <c r="D1939" t="s">
        <v>1562</v>
      </c>
      <c r="E1939" t="s">
        <v>1815</v>
      </c>
      <c r="F1939" t="s">
        <v>1858</v>
      </c>
      <c r="G1939" t="s">
        <v>1862</v>
      </c>
      <c r="H1939" t="s">
        <v>1863</v>
      </c>
      <c r="J1939" t="s">
        <v>1868</v>
      </c>
    </row>
    <row r="1940" spans="1:10">
      <c r="A1940" s="1">
        <f>HYPERLINK("https://cms.ls-nyc.org/matter/dynamic-profile/view/1853689","17-1853689")</f>
        <v>0</v>
      </c>
      <c r="B1940" t="s">
        <v>12</v>
      </c>
      <c r="C1940" t="s">
        <v>40</v>
      </c>
      <c r="D1940" t="s">
        <v>1563</v>
      </c>
      <c r="E1940" t="s">
        <v>1816</v>
      </c>
      <c r="F1940" t="s">
        <v>1853</v>
      </c>
      <c r="G1940" t="s">
        <v>1862</v>
      </c>
      <c r="J1940" t="s">
        <v>1867</v>
      </c>
    </row>
    <row r="1941" spans="1:10">
      <c r="A1941" s="1">
        <f>HYPERLINK("https://cms.ls-nyc.org/matter/dynamic-profile/view/1854036","17-1854036")</f>
        <v>0</v>
      </c>
      <c r="B1941" t="s">
        <v>14</v>
      </c>
      <c r="C1941" t="s">
        <v>26</v>
      </c>
      <c r="D1941" t="s">
        <v>1564</v>
      </c>
      <c r="E1941" t="s">
        <v>1815</v>
      </c>
      <c r="F1941" t="s">
        <v>1853</v>
      </c>
      <c r="G1941" t="s">
        <v>1862</v>
      </c>
      <c r="H1941" t="s">
        <v>1863</v>
      </c>
      <c r="J1941" t="s">
        <v>1867</v>
      </c>
    </row>
    <row r="1942" spans="1:10">
      <c r="A1942" s="1">
        <f>HYPERLINK("https://cms.ls-nyc.org/matter/dynamic-profile/view/1853558","17-1853558")</f>
        <v>0</v>
      </c>
      <c r="B1942" t="s">
        <v>12</v>
      </c>
      <c r="C1942" t="s">
        <v>49</v>
      </c>
      <c r="D1942" t="s">
        <v>1565</v>
      </c>
      <c r="E1942" t="s">
        <v>1815</v>
      </c>
      <c r="F1942" t="s">
        <v>1853</v>
      </c>
      <c r="G1942" t="s">
        <v>1862</v>
      </c>
      <c r="J1942" t="s">
        <v>1867</v>
      </c>
    </row>
    <row r="1943" spans="1:10">
      <c r="A1943" s="1">
        <f>HYPERLINK("https://cms.ls-nyc.org/matter/dynamic-profile/view/1853528","17-1853528")</f>
        <v>0</v>
      </c>
      <c r="B1943" t="s">
        <v>15</v>
      </c>
      <c r="C1943" t="s">
        <v>56</v>
      </c>
      <c r="D1943" t="s">
        <v>1566</v>
      </c>
      <c r="E1943" t="s">
        <v>1810</v>
      </c>
      <c r="F1943" t="s">
        <v>1853</v>
      </c>
      <c r="G1943" t="s">
        <v>1862</v>
      </c>
      <c r="H1943" t="s">
        <v>1863</v>
      </c>
      <c r="J1943" t="s">
        <v>1869</v>
      </c>
    </row>
    <row r="1944" spans="1:10">
      <c r="A1944" s="1">
        <f>HYPERLINK("https://cms.ls-nyc.org/matter/dynamic-profile/view/1853380","17-1853380")</f>
        <v>0</v>
      </c>
      <c r="B1944" t="s">
        <v>15</v>
      </c>
      <c r="C1944" t="s">
        <v>27</v>
      </c>
      <c r="D1944" t="s">
        <v>1567</v>
      </c>
      <c r="E1944" t="s">
        <v>1816</v>
      </c>
      <c r="F1944" t="s">
        <v>1853</v>
      </c>
      <c r="G1944" t="s">
        <v>1862</v>
      </c>
      <c r="H1944" t="s">
        <v>1863</v>
      </c>
      <c r="J1944" t="s">
        <v>1867</v>
      </c>
    </row>
    <row r="1945" spans="1:10">
      <c r="A1945" s="1">
        <f>HYPERLINK("https://cms.ls-nyc.org/matter/dynamic-profile/view/1853381","17-1853381")</f>
        <v>0</v>
      </c>
      <c r="B1945" t="s">
        <v>15</v>
      </c>
      <c r="C1945" t="s">
        <v>27</v>
      </c>
      <c r="D1945" t="s">
        <v>1568</v>
      </c>
      <c r="E1945" t="s">
        <v>1816</v>
      </c>
      <c r="F1945" t="s">
        <v>1853</v>
      </c>
      <c r="G1945" t="s">
        <v>1862</v>
      </c>
      <c r="H1945" t="s">
        <v>1863</v>
      </c>
      <c r="J1945" t="s">
        <v>1867</v>
      </c>
    </row>
    <row r="1946" spans="1:10">
      <c r="A1946" s="1">
        <f>HYPERLINK("https://cms.ls-nyc.org/matter/dynamic-profile/view/1851610","17-1851610")</f>
        <v>0</v>
      </c>
      <c r="B1946" t="s">
        <v>13</v>
      </c>
      <c r="C1946" t="s">
        <v>29</v>
      </c>
      <c r="D1946" t="s">
        <v>1569</v>
      </c>
      <c r="E1946" t="s">
        <v>1807</v>
      </c>
      <c r="F1946" t="s">
        <v>1853</v>
      </c>
      <c r="G1946" t="s">
        <v>1862</v>
      </c>
      <c r="H1946" t="s">
        <v>1863</v>
      </c>
      <c r="J1946" t="s">
        <v>1869</v>
      </c>
    </row>
    <row r="1947" spans="1:10">
      <c r="A1947" s="1">
        <f>HYPERLINK("https://cms.ls-nyc.org/matter/dynamic-profile/view/1853299","17-1853299")</f>
        <v>0</v>
      </c>
      <c r="B1947" t="s">
        <v>12</v>
      </c>
      <c r="C1947" t="s">
        <v>49</v>
      </c>
      <c r="D1947" t="s">
        <v>1570</v>
      </c>
      <c r="E1947" t="s">
        <v>1815</v>
      </c>
      <c r="F1947" t="s">
        <v>1853</v>
      </c>
      <c r="G1947" t="s">
        <v>1862</v>
      </c>
      <c r="J1947" t="s">
        <v>1867</v>
      </c>
    </row>
    <row r="1948" spans="1:10">
      <c r="A1948" s="1">
        <f>HYPERLINK("https://cms.ls-nyc.org/matter/dynamic-profile/view/1853276","17-1853276")</f>
        <v>0</v>
      </c>
      <c r="B1948" t="s">
        <v>12</v>
      </c>
      <c r="C1948" t="s">
        <v>21</v>
      </c>
      <c r="D1948" t="s">
        <v>1571</v>
      </c>
      <c r="E1948" t="s">
        <v>1809</v>
      </c>
      <c r="F1948" t="s">
        <v>1859</v>
      </c>
      <c r="G1948" t="s">
        <v>1862</v>
      </c>
      <c r="H1948" t="s">
        <v>1863</v>
      </c>
      <c r="J1948" t="s">
        <v>1868</v>
      </c>
    </row>
    <row r="1949" spans="1:10">
      <c r="A1949" s="1">
        <f>HYPERLINK("https://cms.ls-nyc.org/matter/dynamic-profile/view/1851939","17-1851939")</f>
        <v>0</v>
      </c>
      <c r="B1949" t="s">
        <v>13</v>
      </c>
      <c r="C1949" t="s">
        <v>43</v>
      </c>
      <c r="D1949" t="s">
        <v>1505</v>
      </c>
      <c r="E1949" t="s">
        <v>1809</v>
      </c>
      <c r="G1949" t="s">
        <v>1862</v>
      </c>
      <c r="J1949" t="s">
        <v>1871</v>
      </c>
    </row>
    <row r="1950" spans="1:10">
      <c r="A1950" s="1">
        <f>HYPERLINK("https://cms.ls-nyc.org/matter/dynamic-profile/view/1854168","17-1854168")</f>
        <v>0</v>
      </c>
      <c r="B1950" t="s">
        <v>11</v>
      </c>
      <c r="C1950" t="s">
        <v>18</v>
      </c>
      <c r="D1950" t="s">
        <v>1572</v>
      </c>
      <c r="E1950" t="s">
        <v>1848</v>
      </c>
      <c r="F1950" t="s">
        <v>1853</v>
      </c>
      <c r="G1950" t="s">
        <v>1862</v>
      </c>
      <c r="H1950" t="s">
        <v>1863</v>
      </c>
      <c r="J1950" t="s">
        <v>1869</v>
      </c>
    </row>
    <row r="1951" spans="1:10">
      <c r="A1951" s="1">
        <f>HYPERLINK("https://cms.ls-nyc.org/matter/dynamic-profile/view/1854175","17-1854175")</f>
        <v>0</v>
      </c>
      <c r="B1951" t="s">
        <v>11</v>
      </c>
      <c r="C1951" t="s">
        <v>18</v>
      </c>
      <c r="D1951" t="s">
        <v>1573</v>
      </c>
      <c r="E1951" t="s">
        <v>1848</v>
      </c>
      <c r="F1951" t="s">
        <v>1853</v>
      </c>
      <c r="G1951" t="s">
        <v>1862</v>
      </c>
      <c r="H1951" t="s">
        <v>1863</v>
      </c>
      <c r="J1951" t="s">
        <v>1869</v>
      </c>
    </row>
    <row r="1952" spans="1:10">
      <c r="A1952" s="1">
        <f>HYPERLINK("https://cms.ls-nyc.org/matter/dynamic-profile/view/1853582","17-1853582")</f>
        <v>0</v>
      </c>
      <c r="B1952" t="s">
        <v>14</v>
      </c>
      <c r="C1952" t="s">
        <v>26</v>
      </c>
      <c r="D1952" t="s">
        <v>1574</v>
      </c>
      <c r="E1952" t="s">
        <v>1800</v>
      </c>
      <c r="F1952" t="s">
        <v>1853</v>
      </c>
      <c r="G1952" t="s">
        <v>1862</v>
      </c>
      <c r="H1952" t="s">
        <v>1863</v>
      </c>
      <c r="J1952" t="s">
        <v>1867</v>
      </c>
    </row>
    <row r="1953" spans="1:10">
      <c r="A1953" s="1">
        <f>HYPERLINK("https://cms.ls-nyc.org/matter/dynamic-profile/view/1853162","17-1853162")</f>
        <v>0</v>
      </c>
      <c r="B1953" t="s">
        <v>15</v>
      </c>
      <c r="C1953" t="s">
        <v>34</v>
      </c>
      <c r="D1953" t="s">
        <v>1575</v>
      </c>
      <c r="E1953" t="s">
        <v>1803</v>
      </c>
      <c r="F1953" t="s">
        <v>1855</v>
      </c>
      <c r="G1953" t="s">
        <v>1862</v>
      </c>
      <c r="H1953" t="s">
        <v>1863</v>
      </c>
      <c r="J1953" t="s">
        <v>1871</v>
      </c>
    </row>
    <row r="1954" spans="1:10">
      <c r="A1954" s="1">
        <f>HYPERLINK("https://cms.ls-nyc.org/matter/dynamic-profile/view/1853174","17-1853174")</f>
        <v>0</v>
      </c>
      <c r="B1954" t="s">
        <v>11</v>
      </c>
      <c r="C1954" t="s">
        <v>41</v>
      </c>
      <c r="D1954" t="s">
        <v>1576</v>
      </c>
      <c r="E1954" t="s">
        <v>1815</v>
      </c>
      <c r="F1954" t="s">
        <v>1853</v>
      </c>
      <c r="G1954" t="s">
        <v>1862</v>
      </c>
      <c r="H1954" t="s">
        <v>1863</v>
      </c>
      <c r="J1954" t="s">
        <v>1869</v>
      </c>
    </row>
    <row r="1955" spans="1:10">
      <c r="A1955" s="1">
        <f>HYPERLINK("https://cms.ls-nyc.org/matter/dynamic-profile/view/1853587","17-1853587")</f>
        <v>0</v>
      </c>
      <c r="B1955" t="s">
        <v>14</v>
      </c>
      <c r="C1955" t="s">
        <v>26</v>
      </c>
      <c r="D1955" t="s">
        <v>1577</v>
      </c>
      <c r="E1955" t="s">
        <v>1815</v>
      </c>
      <c r="F1955" t="s">
        <v>1858</v>
      </c>
      <c r="G1955" t="s">
        <v>1862</v>
      </c>
      <c r="H1955" t="s">
        <v>1863</v>
      </c>
      <c r="J1955" t="s">
        <v>1868</v>
      </c>
    </row>
    <row r="1956" spans="1:10">
      <c r="A1956" s="1">
        <f>HYPERLINK("https://cms.ls-nyc.org/matter/dynamic-profile/view/1852970","17-1852970")</f>
        <v>0</v>
      </c>
      <c r="B1956" t="s">
        <v>13</v>
      </c>
      <c r="C1956" t="s">
        <v>43</v>
      </c>
      <c r="D1956" t="s">
        <v>1578</v>
      </c>
      <c r="F1956" t="s">
        <v>1857</v>
      </c>
      <c r="G1956" t="s">
        <v>1862</v>
      </c>
      <c r="H1956" t="s">
        <v>1863</v>
      </c>
      <c r="J1956" t="s">
        <v>1869</v>
      </c>
    </row>
    <row r="1957" spans="1:10">
      <c r="A1957" s="1">
        <f>HYPERLINK("https://cms.ls-nyc.org/matter/dynamic-profile/view/1853007","17-1853007")</f>
        <v>0</v>
      </c>
      <c r="B1957" t="s">
        <v>10</v>
      </c>
      <c r="C1957" t="s">
        <v>16</v>
      </c>
      <c r="D1957" t="s">
        <v>1579</v>
      </c>
      <c r="E1957" t="s">
        <v>1849</v>
      </c>
      <c r="F1957" t="s">
        <v>1853</v>
      </c>
      <c r="G1957" t="s">
        <v>1862</v>
      </c>
      <c r="H1957" t="s">
        <v>1863</v>
      </c>
      <c r="J1957" t="s">
        <v>1866</v>
      </c>
    </row>
    <row r="1958" spans="1:10">
      <c r="A1958" s="1">
        <f>HYPERLINK("https://cms.ls-nyc.org/matter/dynamic-profile/view/1852484","17-1852484")</f>
        <v>0</v>
      </c>
      <c r="B1958" t="s">
        <v>15</v>
      </c>
      <c r="C1958" t="s">
        <v>56</v>
      </c>
      <c r="D1958" t="s">
        <v>1580</v>
      </c>
      <c r="E1958" t="s">
        <v>1845</v>
      </c>
      <c r="F1958" t="s">
        <v>1853</v>
      </c>
      <c r="G1958" t="s">
        <v>1862</v>
      </c>
      <c r="H1958" t="s">
        <v>1863</v>
      </c>
      <c r="J1958" t="s">
        <v>1867</v>
      </c>
    </row>
    <row r="1959" spans="1:10">
      <c r="A1959" s="1">
        <f>HYPERLINK("https://cms.ls-nyc.org/matter/dynamic-profile/view/1852481","17-1852481")</f>
        <v>0</v>
      </c>
      <c r="B1959" t="s">
        <v>15</v>
      </c>
      <c r="C1959" t="s">
        <v>56</v>
      </c>
      <c r="D1959" t="s">
        <v>1581</v>
      </c>
      <c r="E1959" t="s">
        <v>1845</v>
      </c>
      <c r="F1959" t="s">
        <v>1853</v>
      </c>
      <c r="G1959" t="s">
        <v>1862</v>
      </c>
      <c r="H1959" t="s">
        <v>1863</v>
      </c>
      <c r="J1959" t="s">
        <v>1867</v>
      </c>
    </row>
    <row r="1960" spans="1:10">
      <c r="A1960" s="1">
        <f>HYPERLINK("https://cms.ls-nyc.org/matter/dynamic-profile/view/1852482","17-1852482")</f>
        <v>0</v>
      </c>
      <c r="B1960" t="s">
        <v>15</v>
      </c>
      <c r="C1960" t="s">
        <v>56</v>
      </c>
      <c r="D1960" t="s">
        <v>1582</v>
      </c>
      <c r="E1960" t="s">
        <v>1845</v>
      </c>
      <c r="F1960" t="s">
        <v>1853</v>
      </c>
      <c r="G1960" t="s">
        <v>1862</v>
      </c>
      <c r="H1960" t="s">
        <v>1863</v>
      </c>
      <c r="J1960" t="s">
        <v>1867</v>
      </c>
    </row>
    <row r="1961" spans="1:10">
      <c r="A1961" s="1">
        <f>HYPERLINK("https://cms.ls-nyc.org/matter/dynamic-profile/view/1852483","17-1852483")</f>
        <v>0</v>
      </c>
      <c r="B1961" t="s">
        <v>15</v>
      </c>
      <c r="C1961" t="s">
        <v>56</v>
      </c>
      <c r="D1961" t="s">
        <v>1583</v>
      </c>
      <c r="E1961" t="s">
        <v>1845</v>
      </c>
      <c r="F1961" t="s">
        <v>1853</v>
      </c>
      <c r="G1961" t="s">
        <v>1862</v>
      </c>
      <c r="H1961" t="s">
        <v>1863</v>
      </c>
      <c r="J1961" t="s">
        <v>1867</v>
      </c>
    </row>
    <row r="1962" spans="1:10">
      <c r="A1962" s="1">
        <f>HYPERLINK("https://cms.ls-nyc.org/matter/dynamic-profile/view/1852495","17-1852495")</f>
        <v>0</v>
      </c>
      <c r="B1962" t="s">
        <v>13</v>
      </c>
      <c r="C1962" t="s">
        <v>29</v>
      </c>
      <c r="D1962" t="s">
        <v>1584</v>
      </c>
      <c r="E1962" t="s">
        <v>1803</v>
      </c>
      <c r="F1962" t="s">
        <v>1855</v>
      </c>
      <c r="G1962" t="s">
        <v>1862</v>
      </c>
      <c r="H1962" t="s">
        <v>1863</v>
      </c>
      <c r="J1962" t="s">
        <v>1871</v>
      </c>
    </row>
    <row r="1963" spans="1:10">
      <c r="A1963" s="1">
        <f>HYPERLINK("https://cms.ls-nyc.org/matter/dynamic-profile/view/1852559","17-1852559")</f>
        <v>0</v>
      </c>
      <c r="B1963" t="s">
        <v>10</v>
      </c>
      <c r="C1963" t="s">
        <v>16</v>
      </c>
      <c r="D1963" t="s">
        <v>1585</v>
      </c>
      <c r="E1963" t="s">
        <v>1809</v>
      </c>
      <c r="F1963" t="s">
        <v>1853</v>
      </c>
      <c r="G1963" t="s">
        <v>1862</v>
      </c>
      <c r="H1963" t="s">
        <v>1863</v>
      </c>
      <c r="J1963" t="s">
        <v>1869</v>
      </c>
    </row>
    <row r="1964" spans="1:10">
      <c r="A1964" s="1">
        <f>HYPERLINK("https://cms.ls-nyc.org/matter/dynamic-profile/view/1852459","17-1852459")</f>
        <v>0</v>
      </c>
      <c r="B1964" t="s">
        <v>10</v>
      </c>
      <c r="C1964" t="s">
        <v>16</v>
      </c>
      <c r="D1964" t="s">
        <v>1586</v>
      </c>
      <c r="E1964" t="s">
        <v>1815</v>
      </c>
      <c r="F1964" t="s">
        <v>1856</v>
      </c>
      <c r="G1964" t="s">
        <v>1862</v>
      </c>
      <c r="J1964" t="s">
        <v>1868</v>
      </c>
    </row>
    <row r="1965" spans="1:10">
      <c r="A1965" s="1">
        <f>HYPERLINK("https://cms.ls-nyc.org/matter/dynamic-profile/view/1852451","17-1852451")</f>
        <v>0</v>
      </c>
      <c r="B1965" t="s">
        <v>11</v>
      </c>
      <c r="C1965" t="s">
        <v>41</v>
      </c>
      <c r="D1965" t="s">
        <v>1587</v>
      </c>
      <c r="E1965" t="s">
        <v>1815</v>
      </c>
      <c r="F1965" t="s">
        <v>1853</v>
      </c>
      <c r="G1965" t="s">
        <v>1862</v>
      </c>
      <c r="H1965" t="s">
        <v>1863</v>
      </c>
      <c r="J1965" t="s">
        <v>1867</v>
      </c>
    </row>
    <row r="1966" spans="1:10">
      <c r="A1966" s="1">
        <f>HYPERLINK("https://cms.ls-nyc.org/matter/dynamic-profile/view/1852477","17-1852477")</f>
        <v>0</v>
      </c>
      <c r="B1966" t="s">
        <v>15</v>
      </c>
      <c r="C1966" t="s">
        <v>34</v>
      </c>
      <c r="D1966" t="s">
        <v>481</v>
      </c>
      <c r="E1966" t="s">
        <v>1814</v>
      </c>
      <c r="F1966" t="s">
        <v>1853</v>
      </c>
      <c r="G1966" t="s">
        <v>1862</v>
      </c>
      <c r="H1966" t="s">
        <v>1864</v>
      </c>
      <c r="J1966" t="s">
        <v>1869</v>
      </c>
    </row>
    <row r="1967" spans="1:10">
      <c r="A1967" s="1">
        <f>HYPERLINK("https://cms.ls-nyc.org/matter/dynamic-profile/view/1853173","17-1853173")</f>
        <v>0</v>
      </c>
      <c r="B1967" t="s">
        <v>10</v>
      </c>
      <c r="C1967" t="s">
        <v>16</v>
      </c>
      <c r="D1967" t="s">
        <v>1276</v>
      </c>
      <c r="E1967" t="s">
        <v>1819</v>
      </c>
      <c r="F1967" t="s">
        <v>1853</v>
      </c>
      <c r="G1967" t="s">
        <v>1862</v>
      </c>
      <c r="H1967" t="s">
        <v>1863</v>
      </c>
      <c r="J1967" t="s">
        <v>1867</v>
      </c>
    </row>
    <row r="1968" spans="1:10">
      <c r="A1968" s="1">
        <f>HYPERLINK("https://cms.ls-nyc.org/matter/dynamic-profile/view/1852274","17-1852274")</f>
        <v>0</v>
      </c>
      <c r="B1968" t="s">
        <v>11</v>
      </c>
      <c r="C1968" t="s">
        <v>41</v>
      </c>
      <c r="D1968" t="s">
        <v>1588</v>
      </c>
      <c r="E1968" t="s">
        <v>1815</v>
      </c>
      <c r="F1968" t="s">
        <v>1858</v>
      </c>
      <c r="G1968" t="s">
        <v>1862</v>
      </c>
      <c r="H1968" t="s">
        <v>1864</v>
      </c>
      <c r="J1968" t="s">
        <v>1868</v>
      </c>
    </row>
    <row r="1969" spans="1:10">
      <c r="A1969" s="1">
        <f>HYPERLINK("https://cms.ls-nyc.org/matter/dynamic-profile/view/1852585","17-1852585")</f>
        <v>0</v>
      </c>
      <c r="B1969" t="s">
        <v>14</v>
      </c>
      <c r="C1969" t="s">
        <v>26</v>
      </c>
      <c r="D1969" t="s">
        <v>1589</v>
      </c>
      <c r="E1969" t="s">
        <v>1815</v>
      </c>
      <c r="F1969" t="s">
        <v>1858</v>
      </c>
      <c r="G1969" t="s">
        <v>1862</v>
      </c>
      <c r="H1969" t="s">
        <v>1863</v>
      </c>
      <c r="J1969" t="s">
        <v>1868</v>
      </c>
    </row>
    <row r="1970" spans="1:10">
      <c r="A1970" s="1">
        <f>HYPERLINK("https://cms.ls-nyc.org/matter/dynamic-profile/view/1853608","17-1853608")</f>
        <v>0</v>
      </c>
      <c r="B1970" t="s">
        <v>14</v>
      </c>
      <c r="C1970" t="s">
        <v>42</v>
      </c>
      <c r="D1970" t="s">
        <v>1590</v>
      </c>
      <c r="E1970" t="s">
        <v>1821</v>
      </c>
      <c r="F1970" t="s">
        <v>1853</v>
      </c>
      <c r="G1970" t="s">
        <v>1862</v>
      </c>
      <c r="J1970" t="s">
        <v>1867</v>
      </c>
    </row>
    <row r="1971" spans="1:10">
      <c r="A1971" s="1">
        <f>HYPERLINK("https://cms.ls-nyc.org/matter/dynamic-profile/view/1852227","17-1852227")</f>
        <v>0</v>
      </c>
      <c r="B1971" t="s">
        <v>13</v>
      </c>
      <c r="C1971" t="s">
        <v>24</v>
      </c>
      <c r="D1971" t="s">
        <v>1591</v>
      </c>
      <c r="E1971" t="s">
        <v>1803</v>
      </c>
      <c r="F1971" t="s">
        <v>1855</v>
      </c>
      <c r="G1971" t="s">
        <v>1862</v>
      </c>
      <c r="H1971" t="s">
        <v>1863</v>
      </c>
      <c r="J1971" t="s">
        <v>1871</v>
      </c>
    </row>
    <row r="1972" spans="1:10">
      <c r="A1972" s="1">
        <f>HYPERLINK("https://cms.ls-nyc.org/matter/dynamic-profile/view/1852061","17-1852061")</f>
        <v>0</v>
      </c>
      <c r="B1972" t="s">
        <v>10</v>
      </c>
      <c r="C1972" t="s">
        <v>16</v>
      </c>
      <c r="D1972" t="s">
        <v>1592</v>
      </c>
      <c r="E1972" t="s">
        <v>1807</v>
      </c>
      <c r="F1972" t="s">
        <v>1853</v>
      </c>
      <c r="G1972" t="s">
        <v>1862</v>
      </c>
      <c r="H1972" t="s">
        <v>1863</v>
      </c>
      <c r="J1972" t="s">
        <v>1869</v>
      </c>
    </row>
    <row r="1973" spans="1:10">
      <c r="A1973" s="1">
        <f>HYPERLINK("https://cms.ls-nyc.org/matter/dynamic-profile/view/1852062","17-1852062")</f>
        <v>0</v>
      </c>
      <c r="B1973" t="s">
        <v>10</v>
      </c>
      <c r="C1973" t="s">
        <v>16</v>
      </c>
      <c r="D1973" t="s">
        <v>1388</v>
      </c>
      <c r="E1973" t="s">
        <v>1810</v>
      </c>
      <c r="F1973" t="s">
        <v>1853</v>
      </c>
      <c r="G1973" t="s">
        <v>1862</v>
      </c>
      <c r="H1973" t="s">
        <v>1863</v>
      </c>
      <c r="J1973" t="s">
        <v>1869</v>
      </c>
    </row>
    <row r="1974" spans="1:10">
      <c r="A1974" s="1">
        <f>HYPERLINK("https://cms.ls-nyc.org/matter/dynamic-profile/view/1852073","17-1852073")</f>
        <v>0</v>
      </c>
      <c r="B1974" t="s">
        <v>11</v>
      </c>
      <c r="C1974" t="s">
        <v>41</v>
      </c>
      <c r="D1974" t="s">
        <v>1593</v>
      </c>
      <c r="E1974" t="s">
        <v>1825</v>
      </c>
      <c r="F1974" t="s">
        <v>1853</v>
      </c>
      <c r="G1974" t="s">
        <v>1862</v>
      </c>
      <c r="H1974" t="s">
        <v>1863</v>
      </c>
      <c r="J1974" t="s">
        <v>1867</v>
      </c>
    </row>
    <row r="1975" spans="1:10">
      <c r="A1975" s="1">
        <f>HYPERLINK("https://cms.ls-nyc.org/matter/dynamic-profile/view/1852005","17-1852005")</f>
        <v>0</v>
      </c>
      <c r="B1975" t="s">
        <v>11</v>
      </c>
      <c r="C1975" t="s">
        <v>32</v>
      </c>
      <c r="D1975" t="s">
        <v>1594</v>
      </c>
      <c r="E1975" t="s">
        <v>1809</v>
      </c>
      <c r="F1975" t="s">
        <v>1855</v>
      </c>
      <c r="G1975" t="s">
        <v>1862</v>
      </c>
      <c r="H1975" t="s">
        <v>1863</v>
      </c>
      <c r="J1975" t="s">
        <v>1870</v>
      </c>
    </row>
    <row r="1976" spans="1:10">
      <c r="A1976" s="1">
        <f>HYPERLINK("https://cms.ls-nyc.org/matter/dynamic-profile/view/1851853","17-1851853")</f>
        <v>0</v>
      </c>
      <c r="B1976" t="s">
        <v>15</v>
      </c>
      <c r="C1976" t="s">
        <v>34</v>
      </c>
      <c r="D1976" t="s">
        <v>654</v>
      </c>
      <c r="E1976" t="s">
        <v>1809</v>
      </c>
      <c r="F1976" t="s">
        <v>1855</v>
      </c>
      <c r="G1976" t="s">
        <v>1862</v>
      </c>
      <c r="J1976" t="s">
        <v>1870</v>
      </c>
    </row>
    <row r="1977" spans="1:10">
      <c r="A1977" s="1">
        <f>HYPERLINK("https://cms.ls-nyc.org/matter/dynamic-profile/view/1851854","17-1851854")</f>
        <v>0</v>
      </c>
      <c r="B1977" t="s">
        <v>15</v>
      </c>
      <c r="C1977" t="s">
        <v>34</v>
      </c>
      <c r="D1977" t="s">
        <v>1595</v>
      </c>
      <c r="E1977" t="s">
        <v>1809</v>
      </c>
      <c r="F1977" t="s">
        <v>1855</v>
      </c>
      <c r="G1977" t="s">
        <v>1862</v>
      </c>
      <c r="H1977" t="s">
        <v>1863</v>
      </c>
      <c r="J1977" t="s">
        <v>1870</v>
      </c>
    </row>
    <row r="1978" spans="1:10">
      <c r="A1978" s="1">
        <f>HYPERLINK("https://cms.ls-nyc.org/matter/dynamic-profile/view/1851855","17-1851855")</f>
        <v>0</v>
      </c>
      <c r="B1978" t="s">
        <v>10</v>
      </c>
      <c r="C1978" t="s">
        <v>41</v>
      </c>
      <c r="D1978" t="s">
        <v>1596</v>
      </c>
      <c r="E1978" t="s">
        <v>1815</v>
      </c>
      <c r="F1978" t="s">
        <v>1856</v>
      </c>
      <c r="G1978" t="s">
        <v>1862</v>
      </c>
      <c r="J1978" t="s">
        <v>1866</v>
      </c>
    </row>
    <row r="1979" spans="1:10">
      <c r="A1979" s="1">
        <f>HYPERLINK("https://cms.ls-nyc.org/matter/dynamic-profile/view/1851658","17-1851658")</f>
        <v>0</v>
      </c>
      <c r="B1979" t="s">
        <v>15</v>
      </c>
      <c r="C1979" t="s">
        <v>27</v>
      </c>
      <c r="D1979" t="s">
        <v>1087</v>
      </c>
      <c r="E1979" t="s">
        <v>1816</v>
      </c>
      <c r="F1979" t="s">
        <v>1853</v>
      </c>
      <c r="G1979" t="s">
        <v>1862</v>
      </c>
      <c r="H1979" t="s">
        <v>1863</v>
      </c>
      <c r="J1979" t="s">
        <v>1869</v>
      </c>
    </row>
    <row r="1980" spans="1:10">
      <c r="A1980" s="1">
        <f>HYPERLINK("https://cms.ls-nyc.org/matter/dynamic-profile/view/1851617","17-1851617")</f>
        <v>0</v>
      </c>
      <c r="B1980" t="s">
        <v>11</v>
      </c>
      <c r="C1980" t="s">
        <v>32</v>
      </c>
      <c r="D1980" t="s">
        <v>1597</v>
      </c>
      <c r="E1980" t="s">
        <v>1809</v>
      </c>
      <c r="F1980" t="s">
        <v>1855</v>
      </c>
      <c r="G1980" t="s">
        <v>1862</v>
      </c>
      <c r="H1980" t="s">
        <v>1863</v>
      </c>
      <c r="J1980" t="s">
        <v>1871</v>
      </c>
    </row>
    <row r="1981" spans="1:10">
      <c r="A1981" s="1">
        <f>HYPERLINK("https://cms.ls-nyc.org/matter/dynamic-profile/view/1851618","17-1851618")</f>
        <v>0</v>
      </c>
      <c r="B1981" t="s">
        <v>11</v>
      </c>
      <c r="C1981" t="s">
        <v>32</v>
      </c>
      <c r="D1981" t="s">
        <v>1224</v>
      </c>
      <c r="E1981" t="s">
        <v>1809</v>
      </c>
      <c r="F1981" t="s">
        <v>1855</v>
      </c>
      <c r="G1981" t="s">
        <v>1862</v>
      </c>
      <c r="H1981" t="s">
        <v>1863</v>
      </c>
      <c r="J1981" t="s">
        <v>1870</v>
      </c>
    </row>
    <row r="1982" spans="1:10">
      <c r="A1982" s="1">
        <f>HYPERLINK("https://cms.ls-nyc.org/matter/dynamic-profile/view/1851659","17-1851659")</f>
        <v>0</v>
      </c>
      <c r="B1982" t="s">
        <v>15</v>
      </c>
      <c r="C1982" t="s">
        <v>27</v>
      </c>
      <c r="D1982" t="s">
        <v>1598</v>
      </c>
      <c r="E1982" t="s">
        <v>1816</v>
      </c>
      <c r="F1982" t="s">
        <v>1853</v>
      </c>
      <c r="G1982" t="s">
        <v>1862</v>
      </c>
      <c r="H1982" t="s">
        <v>1863</v>
      </c>
      <c r="J1982" t="s">
        <v>1867</v>
      </c>
    </row>
    <row r="1983" spans="1:10">
      <c r="A1983" s="1">
        <f>HYPERLINK("https://cms.ls-nyc.org/matter/dynamic-profile/view/1851524","17-1851524")</f>
        <v>0</v>
      </c>
      <c r="B1983" t="s">
        <v>13</v>
      </c>
      <c r="C1983" t="s">
        <v>29</v>
      </c>
      <c r="D1983" t="s">
        <v>1599</v>
      </c>
      <c r="E1983" t="s">
        <v>1810</v>
      </c>
      <c r="F1983" t="s">
        <v>1853</v>
      </c>
      <c r="G1983" t="s">
        <v>1862</v>
      </c>
      <c r="H1983" t="s">
        <v>1863</v>
      </c>
      <c r="J1983" t="s">
        <v>1869</v>
      </c>
    </row>
    <row r="1984" spans="1:10">
      <c r="A1984" s="1">
        <f>HYPERLINK("https://cms.ls-nyc.org/matter/dynamic-profile/view/1851452","17-1851452")</f>
        <v>0</v>
      </c>
      <c r="B1984" t="s">
        <v>10</v>
      </c>
      <c r="C1984" t="s">
        <v>16</v>
      </c>
      <c r="D1984" t="s">
        <v>1600</v>
      </c>
      <c r="E1984" t="s">
        <v>1807</v>
      </c>
      <c r="F1984" t="s">
        <v>1853</v>
      </c>
      <c r="G1984" t="s">
        <v>1862</v>
      </c>
      <c r="H1984" t="s">
        <v>1863</v>
      </c>
      <c r="J1984" t="s">
        <v>1869</v>
      </c>
    </row>
    <row r="1985" spans="1:10">
      <c r="A1985" s="1">
        <f>HYPERLINK("https://cms.ls-nyc.org/matter/dynamic-profile/view/1851527","17-1851527")</f>
        <v>0</v>
      </c>
      <c r="B1985" t="s">
        <v>11</v>
      </c>
      <c r="C1985" t="s">
        <v>41</v>
      </c>
      <c r="D1985" t="s">
        <v>1601</v>
      </c>
      <c r="E1985" t="s">
        <v>1815</v>
      </c>
      <c r="F1985" t="s">
        <v>1858</v>
      </c>
      <c r="G1985" t="s">
        <v>1862</v>
      </c>
      <c r="J1985" t="s">
        <v>1868</v>
      </c>
    </row>
    <row r="1986" spans="1:10">
      <c r="A1986" s="1">
        <f>HYPERLINK("https://cms.ls-nyc.org/matter/dynamic-profile/view/1854321","17-1854321")</f>
        <v>0</v>
      </c>
      <c r="B1986" t="s">
        <v>11</v>
      </c>
      <c r="C1986" t="s">
        <v>60</v>
      </c>
      <c r="D1986" t="s">
        <v>1602</v>
      </c>
      <c r="E1986" t="s">
        <v>1805</v>
      </c>
      <c r="F1986" t="s">
        <v>1853</v>
      </c>
      <c r="G1986" t="s">
        <v>1862</v>
      </c>
      <c r="J1986" t="s">
        <v>1869</v>
      </c>
    </row>
    <row r="1987" spans="1:10">
      <c r="A1987" s="1">
        <f>HYPERLINK("https://cms.ls-nyc.org/matter/dynamic-profile/view/1851338","17-1851338")</f>
        <v>0</v>
      </c>
      <c r="B1987" t="s">
        <v>10</v>
      </c>
      <c r="C1987" t="s">
        <v>16</v>
      </c>
      <c r="D1987" t="s">
        <v>1374</v>
      </c>
      <c r="E1987" t="s">
        <v>1815</v>
      </c>
      <c r="F1987" t="s">
        <v>1853</v>
      </c>
      <c r="G1987" t="s">
        <v>1862</v>
      </c>
      <c r="H1987" t="s">
        <v>1863</v>
      </c>
      <c r="J1987" t="s">
        <v>1867</v>
      </c>
    </row>
    <row r="1988" spans="1:10">
      <c r="A1988" s="1">
        <f>HYPERLINK("https://cms.ls-nyc.org/matter/dynamic-profile/view/1851340","17-1851340")</f>
        <v>0</v>
      </c>
      <c r="B1988" t="s">
        <v>10</v>
      </c>
      <c r="C1988" t="s">
        <v>17</v>
      </c>
      <c r="D1988" t="s">
        <v>1603</v>
      </c>
      <c r="E1988" t="s">
        <v>1825</v>
      </c>
      <c r="F1988" t="s">
        <v>1853</v>
      </c>
      <c r="G1988" t="s">
        <v>1862</v>
      </c>
      <c r="H1988" t="s">
        <v>1863</v>
      </c>
      <c r="J1988" t="s">
        <v>1869</v>
      </c>
    </row>
    <row r="1989" spans="1:10">
      <c r="A1989" s="1">
        <f>HYPERLINK("https://cms.ls-nyc.org/matter/dynamic-profile/view/1851269","17-1851269")</f>
        <v>0</v>
      </c>
      <c r="B1989" t="s">
        <v>10</v>
      </c>
      <c r="C1989" t="s">
        <v>16</v>
      </c>
      <c r="D1989" t="s">
        <v>1378</v>
      </c>
      <c r="E1989" t="s">
        <v>1819</v>
      </c>
      <c r="F1989" t="s">
        <v>1853</v>
      </c>
      <c r="G1989" t="s">
        <v>1862</v>
      </c>
      <c r="H1989" t="s">
        <v>1863</v>
      </c>
      <c r="J1989" t="s">
        <v>1867</v>
      </c>
    </row>
    <row r="1990" spans="1:10">
      <c r="A1990" s="1">
        <f>HYPERLINK("https://cms.ls-nyc.org/matter/dynamic-profile/view/1851272","17-1851272")</f>
        <v>0</v>
      </c>
      <c r="B1990" t="s">
        <v>11</v>
      </c>
      <c r="C1990" t="s">
        <v>32</v>
      </c>
      <c r="D1990" t="s">
        <v>1498</v>
      </c>
      <c r="E1990" t="s">
        <v>1809</v>
      </c>
      <c r="F1990" t="s">
        <v>1855</v>
      </c>
      <c r="G1990" t="s">
        <v>1862</v>
      </c>
      <c r="J1990" t="s">
        <v>1870</v>
      </c>
    </row>
    <row r="1991" spans="1:10">
      <c r="A1991" s="1">
        <f>HYPERLINK("https://cms.ls-nyc.org/matter/dynamic-profile/view/1851132","17-1851132")</f>
        <v>0</v>
      </c>
      <c r="B1991" t="s">
        <v>10</v>
      </c>
      <c r="C1991" t="s">
        <v>60</v>
      </c>
      <c r="D1991" t="s">
        <v>1604</v>
      </c>
      <c r="E1991" t="s">
        <v>1815</v>
      </c>
      <c r="F1991" t="s">
        <v>1853</v>
      </c>
      <c r="G1991" t="s">
        <v>1862</v>
      </c>
      <c r="H1991" t="s">
        <v>1863</v>
      </c>
      <c r="J1991" t="s">
        <v>1868</v>
      </c>
    </row>
    <row r="1992" spans="1:10">
      <c r="A1992" s="1">
        <f>HYPERLINK("https://cms.ls-nyc.org/matter/dynamic-profile/view/1851073","17-1851073")</f>
        <v>0</v>
      </c>
      <c r="B1992" t="s">
        <v>11</v>
      </c>
      <c r="C1992" t="s">
        <v>52</v>
      </c>
      <c r="D1992" t="s">
        <v>1605</v>
      </c>
      <c r="E1992" t="s">
        <v>1810</v>
      </c>
      <c r="F1992" t="s">
        <v>1858</v>
      </c>
      <c r="G1992" t="s">
        <v>1862</v>
      </c>
      <c r="H1992" t="s">
        <v>1864</v>
      </c>
      <c r="J1992" t="s">
        <v>1868</v>
      </c>
    </row>
    <row r="1993" spans="1:10">
      <c r="A1993" s="1">
        <f>HYPERLINK("https://cms.ls-nyc.org/matter/dynamic-profile/view/1849352","17-1849352")</f>
        <v>0</v>
      </c>
      <c r="B1993" t="s">
        <v>10</v>
      </c>
      <c r="C1993" t="s">
        <v>38</v>
      </c>
      <c r="D1993" t="s">
        <v>1606</v>
      </c>
      <c r="E1993" t="s">
        <v>1825</v>
      </c>
      <c r="F1993" t="s">
        <v>1856</v>
      </c>
      <c r="G1993" t="s">
        <v>1862</v>
      </c>
      <c r="J1993" t="s">
        <v>1866</v>
      </c>
    </row>
    <row r="1994" spans="1:10">
      <c r="A1994" s="1">
        <f>HYPERLINK("https://cms.ls-nyc.org/matter/dynamic-profile/view/1851734","17-1851734")</f>
        <v>0</v>
      </c>
      <c r="B1994" t="s">
        <v>11</v>
      </c>
      <c r="C1994" t="s">
        <v>60</v>
      </c>
      <c r="D1994" t="s">
        <v>1607</v>
      </c>
      <c r="E1994" t="s">
        <v>1815</v>
      </c>
      <c r="F1994" t="s">
        <v>1853</v>
      </c>
      <c r="G1994" t="s">
        <v>1862</v>
      </c>
      <c r="H1994" t="s">
        <v>1864</v>
      </c>
      <c r="I1994" t="s">
        <v>1865</v>
      </c>
      <c r="J1994" t="s">
        <v>1866</v>
      </c>
    </row>
    <row r="1995" spans="1:10">
      <c r="A1995" s="1">
        <f>HYPERLINK("https://cms.ls-nyc.org/matter/dynamic-profile/view/0827705","17-0827705")</f>
        <v>0</v>
      </c>
      <c r="B1995" t="s">
        <v>11</v>
      </c>
      <c r="C1995" t="s">
        <v>41</v>
      </c>
      <c r="D1995" t="s">
        <v>1608</v>
      </c>
      <c r="E1995" t="s">
        <v>1815</v>
      </c>
      <c r="F1995" t="s">
        <v>1853</v>
      </c>
      <c r="G1995" t="s">
        <v>1862</v>
      </c>
      <c r="H1995" t="s">
        <v>1863</v>
      </c>
      <c r="J1995" t="s">
        <v>1869</v>
      </c>
    </row>
    <row r="1996" spans="1:10">
      <c r="A1996" s="1">
        <f>HYPERLINK("https://cms.ls-nyc.org/matter/dynamic-profile/view/1850788","17-1850788")</f>
        <v>0</v>
      </c>
      <c r="B1996" t="s">
        <v>10</v>
      </c>
      <c r="C1996" t="s">
        <v>16</v>
      </c>
      <c r="D1996" t="s">
        <v>1355</v>
      </c>
      <c r="E1996" t="s">
        <v>1815</v>
      </c>
      <c r="F1996" t="s">
        <v>1853</v>
      </c>
      <c r="G1996" t="s">
        <v>1862</v>
      </c>
      <c r="H1996" t="s">
        <v>1863</v>
      </c>
      <c r="J1996" t="s">
        <v>1867</v>
      </c>
    </row>
    <row r="1997" spans="1:10">
      <c r="A1997" s="1">
        <f>HYPERLINK("https://cms.ls-nyc.org/matter/dynamic-profile/view/1850659","17-1850659")</f>
        <v>0</v>
      </c>
      <c r="B1997" t="s">
        <v>10</v>
      </c>
      <c r="C1997" t="s">
        <v>16</v>
      </c>
      <c r="D1997" t="s">
        <v>1132</v>
      </c>
      <c r="E1997" t="s">
        <v>1810</v>
      </c>
      <c r="F1997" t="s">
        <v>1853</v>
      </c>
      <c r="G1997" t="s">
        <v>1862</v>
      </c>
      <c r="H1997" t="s">
        <v>1863</v>
      </c>
      <c r="J1997" t="s">
        <v>1869</v>
      </c>
    </row>
    <row r="1998" spans="1:10">
      <c r="A1998" s="1">
        <f>HYPERLINK("https://cms.ls-nyc.org/matter/dynamic-profile/view/1850691","17-1850691")</f>
        <v>0</v>
      </c>
      <c r="B1998" t="s">
        <v>10</v>
      </c>
      <c r="C1998" t="s">
        <v>17</v>
      </c>
      <c r="D1998" t="s">
        <v>180</v>
      </c>
      <c r="E1998" t="s">
        <v>1815</v>
      </c>
      <c r="F1998" t="s">
        <v>1853</v>
      </c>
      <c r="G1998" t="s">
        <v>1862</v>
      </c>
      <c r="H1998" t="s">
        <v>1863</v>
      </c>
      <c r="J1998" t="s">
        <v>1867</v>
      </c>
    </row>
    <row r="1999" spans="1:10">
      <c r="A1999" s="1">
        <f>HYPERLINK("https://cms.ls-nyc.org/matter/dynamic-profile/view/1850617","17-1850617")</f>
        <v>0</v>
      </c>
      <c r="B1999" t="s">
        <v>11</v>
      </c>
      <c r="C1999" t="s">
        <v>41</v>
      </c>
      <c r="D1999" t="s">
        <v>1609</v>
      </c>
      <c r="E1999" t="s">
        <v>1809</v>
      </c>
      <c r="F1999" t="s">
        <v>1859</v>
      </c>
      <c r="G1999" t="s">
        <v>1862</v>
      </c>
      <c r="H1999" t="s">
        <v>1864</v>
      </c>
      <c r="J1999" t="s">
        <v>1868</v>
      </c>
    </row>
    <row r="2000" spans="1:10">
      <c r="A2000" s="1">
        <f>HYPERLINK("https://cms.ls-nyc.org/matter/dynamic-profile/view/1848890","17-1848890")</f>
        <v>0</v>
      </c>
      <c r="B2000" t="s">
        <v>13</v>
      </c>
      <c r="C2000" t="s">
        <v>24</v>
      </c>
      <c r="D2000" t="s">
        <v>98</v>
      </c>
      <c r="E2000" t="s">
        <v>1814</v>
      </c>
      <c r="F2000" t="s">
        <v>1853</v>
      </c>
      <c r="G2000" t="s">
        <v>1862</v>
      </c>
      <c r="J2000" t="s">
        <v>1869</v>
      </c>
    </row>
    <row r="2001" spans="1:10">
      <c r="A2001" s="1">
        <f>HYPERLINK("https://cms.ls-nyc.org/matter/dynamic-profile/view/1850416","17-1850416")</f>
        <v>0</v>
      </c>
      <c r="B2001" t="s">
        <v>15</v>
      </c>
      <c r="C2001" t="s">
        <v>59</v>
      </c>
      <c r="D2001" t="s">
        <v>1610</v>
      </c>
      <c r="E2001" t="s">
        <v>1829</v>
      </c>
      <c r="F2001" t="s">
        <v>1853</v>
      </c>
      <c r="G2001" t="s">
        <v>1862</v>
      </c>
      <c r="H2001" t="s">
        <v>1864</v>
      </c>
      <c r="J2001" t="s">
        <v>1867</v>
      </c>
    </row>
    <row r="2002" spans="1:10">
      <c r="A2002" s="1">
        <f>HYPERLINK("https://cms.ls-nyc.org/matter/dynamic-profile/view/1850486","17-1850486")</f>
        <v>0</v>
      </c>
      <c r="B2002" t="s">
        <v>11</v>
      </c>
      <c r="C2002" t="s">
        <v>41</v>
      </c>
      <c r="D2002" t="s">
        <v>1611</v>
      </c>
      <c r="E2002" t="s">
        <v>1815</v>
      </c>
      <c r="F2002" t="s">
        <v>1858</v>
      </c>
      <c r="G2002" t="s">
        <v>1862</v>
      </c>
      <c r="J2002" t="s">
        <v>1868</v>
      </c>
    </row>
    <row r="2003" spans="1:10">
      <c r="A2003" s="1">
        <f>HYPERLINK("https://cms.ls-nyc.org/matter/dynamic-profile/view/1850295","17-1850295")</f>
        <v>0</v>
      </c>
      <c r="B2003" t="s">
        <v>13</v>
      </c>
      <c r="C2003" t="s">
        <v>29</v>
      </c>
      <c r="D2003" t="s">
        <v>1123</v>
      </c>
      <c r="E2003" t="s">
        <v>1803</v>
      </c>
      <c r="F2003" t="s">
        <v>1855</v>
      </c>
      <c r="G2003" t="s">
        <v>1862</v>
      </c>
      <c r="H2003" t="s">
        <v>1863</v>
      </c>
      <c r="J2003" t="s">
        <v>1871</v>
      </c>
    </row>
    <row r="2004" spans="1:10">
      <c r="A2004" s="1">
        <f>HYPERLINK("https://cms.ls-nyc.org/matter/dynamic-profile/view/1850299","17-1850299")</f>
        <v>0</v>
      </c>
      <c r="B2004" t="s">
        <v>13</v>
      </c>
      <c r="C2004" t="s">
        <v>43</v>
      </c>
      <c r="D2004" t="s">
        <v>1118</v>
      </c>
      <c r="E2004" t="s">
        <v>1803</v>
      </c>
      <c r="F2004" t="s">
        <v>1855</v>
      </c>
      <c r="G2004" t="s">
        <v>1862</v>
      </c>
      <c r="H2004" t="s">
        <v>1863</v>
      </c>
      <c r="J2004" t="s">
        <v>1871</v>
      </c>
    </row>
    <row r="2005" spans="1:10">
      <c r="A2005" s="1">
        <f>HYPERLINK("https://cms.ls-nyc.org/matter/dynamic-profile/view/1850266","17-1850266")</f>
        <v>0</v>
      </c>
      <c r="B2005" t="s">
        <v>11</v>
      </c>
      <c r="C2005" t="s">
        <v>32</v>
      </c>
      <c r="D2005" t="s">
        <v>1612</v>
      </c>
      <c r="E2005" t="s">
        <v>1809</v>
      </c>
      <c r="F2005" t="s">
        <v>1854</v>
      </c>
      <c r="G2005" t="s">
        <v>1862</v>
      </c>
      <c r="H2005" t="s">
        <v>1863</v>
      </c>
      <c r="J2005" t="s">
        <v>1868</v>
      </c>
    </row>
    <row r="2006" spans="1:10">
      <c r="A2006" s="1">
        <f>HYPERLINK("https://cms.ls-nyc.org/matter/dynamic-profile/view/1850175","17-1850175")</f>
        <v>0</v>
      </c>
      <c r="B2006" t="s">
        <v>15</v>
      </c>
      <c r="C2006" t="s">
        <v>56</v>
      </c>
      <c r="D2006" t="s">
        <v>1613</v>
      </c>
      <c r="E2006" t="s">
        <v>1810</v>
      </c>
      <c r="F2006" t="s">
        <v>1853</v>
      </c>
      <c r="G2006" t="s">
        <v>1862</v>
      </c>
      <c r="H2006" t="s">
        <v>1864</v>
      </c>
      <c r="J2006" t="s">
        <v>1869</v>
      </c>
    </row>
    <row r="2007" spans="1:10">
      <c r="A2007" s="1">
        <f>HYPERLINK("https://cms.ls-nyc.org/matter/dynamic-profile/view/1850235","17-1850235")</f>
        <v>0</v>
      </c>
      <c r="B2007" t="s">
        <v>13</v>
      </c>
      <c r="C2007" t="s">
        <v>24</v>
      </c>
      <c r="D2007" t="s">
        <v>1614</v>
      </c>
      <c r="E2007" t="s">
        <v>1807</v>
      </c>
      <c r="F2007" t="s">
        <v>1853</v>
      </c>
      <c r="G2007" t="s">
        <v>1862</v>
      </c>
      <c r="H2007" t="s">
        <v>1863</v>
      </c>
      <c r="J2007" t="s">
        <v>1869</v>
      </c>
    </row>
    <row r="2008" spans="1:10">
      <c r="A2008" s="1">
        <f>HYPERLINK("https://cms.ls-nyc.org/matter/dynamic-profile/view/1850246","17-1850246")</f>
        <v>0</v>
      </c>
      <c r="B2008" t="s">
        <v>10</v>
      </c>
      <c r="C2008" t="s">
        <v>16</v>
      </c>
      <c r="D2008" t="s">
        <v>1351</v>
      </c>
      <c r="E2008" t="s">
        <v>1815</v>
      </c>
      <c r="F2008" t="s">
        <v>1853</v>
      </c>
      <c r="G2008" t="s">
        <v>1862</v>
      </c>
      <c r="H2008" t="s">
        <v>1863</v>
      </c>
      <c r="J2008" t="s">
        <v>1867</v>
      </c>
    </row>
    <row r="2009" spans="1:10">
      <c r="A2009" s="1">
        <f>HYPERLINK("https://cms.ls-nyc.org/matter/dynamic-profile/view/1850111","17-1850111")</f>
        <v>0</v>
      </c>
      <c r="B2009" t="s">
        <v>15</v>
      </c>
      <c r="C2009" t="s">
        <v>61</v>
      </c>
      <c r="D2009" t="s">
        <v>1615</v>
      </c>
      <c r="E2009" t="s">
        <v>1800</v>
      </c>
      <c r="F2009" t="s">
        <v>1854</v>
      </c>
      <c r="G2009" t="s">
        <v>1862</v>
      </c>
      <c r="H2009" t="s">
        <v>1863</v>
      </c>
      <c r="J2009" t="s">
        <v>1867</v>
      </c>
    </row>
    <row r="2010" spans="1:10">
      <c r="A2010" s="1">
        <f>HYPERLINK("https://cms.ls-nyc.org/matter/dynamic-profile/view/1850026","17-1850026")</f>
        <v>0</v>
      </c>
      <c r="B2010" t="s">
        <v>11</v>
      </c>
      <c r="C2010" t="s">
        <v>38</v>
      </c>
      <c r="D2010" t="s">
        <v>1616</v>
      </c>
      <c r="E2010" t="s">
        <v>1815</v>
      </c>
      <c r="F2010" t="s">
        <v>1853</v>
      </c>
      <c r="G2010" t="s">
        <v>1862</v>
      </c>
      <c r="H2010" t="s">
        <v>1864</v>
      </c>
      <c r="J2010" t="s">
        <v>1867</v>
      </c>
    </row>
    <row r="2011" spans="1:10">
      <c r="A2011" s="1">
        <f>HYPERLINK("https://cms.ls-nyc.org/matter/dynamic-profile/view/1847378","17-1847378")</f>
        <v>0</v>
      </c>
      <c r="B2011" t="s">
        <v>13</v>
      </c>
      <c r="C2011" t="s">
        <v>24</v>
      </c>
      <c r="D2011" t="s">
        <v>1617</v>
      </c>
      <c r="E2011" t="s">
        <v>1819</v>
      </c>
      <c r="F2011" t="s">
        <v>1853</v>
      </c>
      <c r="G2011" t="s">
        <v>1862</v>
      </c>
      <c r="H2011" t="s">
        <v>1863</v>
      </c>
      <c r="J2011" t="s">
        <v>1867</v>
      </c>
    </row>
    <row r="2012" spans="1:10">
      <c r="A2012" s="1">
        <f>HYPERLINK("https://cms.ls-nyc.org/matter/dynamic-profile/view/1849685","17-1849685")</f>
        <v>0</v>
      </c>
      <c r="B2012" t="s">
        <v>13</v>
      </c>
      <c r="C2012" t="s">
        <v>43</v>
      </c>
      <c r="D2012" t="s">
        <v>1618</v>
      </c>
      <c r="E2012" t="s">
        <v>1809</v>
      </c>
      <c r="F2012" t="s">
        <v>1855</v>
      </c>
      <c r="G2012" t="s">
        <v>1862</v>
      </c>
      <c r="J2012" t="s">
        <v>1871</v>
      </c>
    </row>
    <row r="2013" spans="1:10">
      <c r="A2013" s="1">
        <f>HYPERLINK("https://cms.ls-nyc.org/matter/dynamic-profile/view/1849635","17-1849635")</f>
        <v>0</v>
      </c>
      <c r="B2013" t="s">
        <v>10</v>
      </c>
      <c r="C2013" t="s">
        <v>16</v>
      </c>
      <c r="D2013" t="s">
        <v>1206</v>
      </c>
      <c r="E2013" t="s">
        <v>1815</v>
      </c>
      <c r="F2013" t="s">
        <v>1853</v>
      </c>
      <c r="G2013" t="s">
        <v>1862</v>
      </c>
      <c r="H2013" t="s">
        <v>1863</v>
      </c>
      <c r="J2013" t="s">
        <v>1869</v>
      </c>
    </row>
    <row r="2014" spans="1:10">
      <c r="A2014" s="1">
        <f>HYPERLINK("https://cms.ls-nyc.org/matter/dynamic-profile/view/1851141","17-1851141")</f>
        <v>0</v>
      </c>
      <c r="B2014" t="s">
        <v>11</v>
      </c>
      <c r="C2014" t="s">
        <v>38</v>
      </c>
      <c r="D2014" t="s">
        <v>1619</v>
      </c>
      <c r="E2014" t="s">
        <v>1804</v>
      </c>
      <c r="F2014" t="s">
        <v>1853</v>
      </c>
      <c r="G2014" t="s">
        <v>1862</v>
      </c>
      <c r="H2014" t="s">
        <v>1864</v>
      </c>
      <c r="J2014" t="s">
        <v>1867</v>
      </c>
    </row>
    <row r="2015" spans="1:10">
      <c r="A2015" s="1">
        <f>HYPERLINK("https://cms.ls-nyc.org/matter/dynamic-profile/view/1851169","17-1851169")</f>
        <v>0</v>
      </c>
      <c r="B2015" t="s">
        <v>11</v>
      </c>
      <c r="C2015" t="s">
        <v>38</v>
      </c>
      <c r="D2015" t="s">
        <v>1620</v>
      </c>
      <c r="E2015" t="s">
        <v>1804</v>
      </c>
      <c r="F2015" t="s">
        <v>1853</v>
      </c>
      <c r="G2015" t="s">
        <v>1862</v>
      </c>
      <c r="H2015" t="s">
        <v>1864</v>
      </c>
      <c r="J2015" t="s">
        <v>1867</v>
      </c>
    </row>
    <row r="2016" spans="1:10">
      <c r="A2016" s="1">
        <f>HYPERLINK("https://cms.ls-nyc.org/matter/dynamic-profile/view/1847651","17-1847651")</f>
        <v>0</v>
      </c>
      <c r="B2016" t="s">
        <v>13</v>
      </c>
      <c r="C2016" t="s">
        <v>24</v>
      </c>
      <c r="D2016" t="s">
        <v>1621</v>
      </c>
      <c r="E2016" t="s">
        <v>1809</v>
      </c>
      <c r="F2016" t="s">
        <v>1855</v>
      </c>
      <c r="G2016" t="s">
        <v>1862</v>
      </c>
      <c r="H2016" t="s">
        <v>1863</v>
      </c>
      <c r="J2016" t="s">
        <v>1871</v>
      </c>
    </row>
    <row r="2017" spans="1:10">
      <c r="A2017" s="1">
        <f>HYPERLINK("https://cms.ls-nyc.org/matter/dynamic-profile/view/1849433","17-1849433")</f>
        <v>0</v>
      </c>
      <c r="B2017" t="s">
        <v>15</v>
      </c>
      <c r="C2017" t="s">
        <v>34</v>
      </c>
      <c r="D2017" t="s">
        <v>715</v>
      </c>
      <c r="E2017" t="s">
        <v>1803</v>
      </c>
      <c r="F2017" t="s">
        <v>1855</v>
      </c>
      <c r="G2017" t="s">
        <v>1862</v>
      </c>
      <c r="H2017" t="s">
        <v>1863</v>
      </c>
      <c r="J2017" t="s">
        <v>1871</v>
      </c>
    </row>
    <row r="2018" spans="1:10">
      <c r="A2018" s="1">
        <f>HYPERLINK("https://cms.ls-nyc.org/matter/dynamic-profile/view/1849376","17-1849376")</f>
        <v>0</v>
      </c>
      <c r="B2018" t="s">
        <v>15</v>
      </c>
      <c r="C2018" t="s">
        <v>59</v>
      </c>
      <c r="D2018" t="s">
        <v>1622</v>
      </c>
      <c r="E2018" t="s">
        <v>1821</v>
      </c>
      <c r="F2018" t="s">
        <v>1853</v>
      </c>
      <c r="G2018" t="s">
        <v>1862</v>
      </c>
      <c r="H2018" t="s">
        <v>1864</v>
      </c>
      <c r="J2018" t="s">
        <v>1867</v>
      </c>
    </row>
    <row r="2019" spans="1:10">
      <c r="A2019" s="1">
        <f>HYPERLINK("https://cms.ls-nyc.org/matter/dynamic-profile/view/1849293","17-1849293")</f>
        <v>0</v>
      </c>
      <c r="B2019" t="s">
        <v>10</v>
      </c>
      <c r="C2019" t="s">
        <v>16</v>
      </c>
      <c r="D2019" t="s">
        <v>1349</v>
      </c>
      <c r="E2019" t="s">
        <v>1815</v>
      </c>
      <c r="F2019" t="s">
        <v>1853</v>
      </c>
      <c r="G2019" t="s">
        <v>1862</v>
      </c>
      <c r="H2019" t="s">
        <v>1863</v>
      </c>
      <c r="J2019" t="s">
        <v>1867</v>
      </c>
    </row>
    <row r="2020" spans="1:10">
      <c r="A2020" s="1">
        <f>HYPERLINK("https://cms.ls-nyc.org/matter/dynamic-profile/view/1849088","17-1849088")</f>
        <v>0</v>
      </c>
      <c r="B2020" t="s">
        <v>15</v>
      </c>
      <c r="C2020" t="s">
        <v>56</v>
      </c>
      <c r="D2020" t="s">
        <v>632</v>
      </c>
      <c r="E2020" t="s">
        <v>1809</v>
      </c>
      <c r="F2020" t="s">
        <v>1855</v>
      </c>
      <c r="G2020" t="s">
        <v>1862</v>
      </c>
      <c r="H2020" t="s">
        <v>1863</v>
      </c>
      <c r="J2020" t="s">
        <v>1871</v>
      </c>
    </row>
    <row r="2021" spans="1:10">
      <c r="A2021" s="1">
        <f>HYPERLINK("https://cms.ls-nyc.org/matter/dynamic-profile/view/1849171","17-1849171")</f>
        <v>0</v>
      </c>
      <c r="B2021" t="s">
        <v>11</v>
      </c>
      <c r="C2021" t="s">
        <v>32</v>
      </c>
      <c r="D2021" t="s">
        <v>1623</v>
      </c>
      <c r="E2021" t="s">
        <v>1800</v>
      </c>
      <c r="F2021" t="s">
        <v>1853</v>
      </c>
      <c r="G2021" t="s">
        <v>1862</v>
      </c>
      <c r="H2021" t="s">
        <v>1863</v>
      </c>
      <c r="J2021" t="s">
        <v>1867</v>
      </c>
    </row>
    <row r="2022" spans="1:10">
      <c r="A2022" s="1">
        <f>HYPERLINK("https://cms.ls-nyc.org/matter/dynamic-profile/view/1848676","17-1848676")</f>
        <v>0</v>
      </c>
      <c r="B2022" t="s">
        <v>13</v>
      </c>
      <c r="C2022" t="s">
        <v>43</v>
      </c>
      <c r="D2022" t="s">
        <v>1624</v>
      </c>
      <c r="E2022" t="s">
        <v>1849</v>
      </c>
      <c r="F2022" t="s">
        <v>1853</v>
      </c>
      <c r="G2022" t="s">
        <v>1862</v>
      </c>
      <c r="J2022" t="s">
        <v>1866</v>
      </c>
    </row>
    <row r="2023" spans="1:10">
      <c r="A2023" s="1">
        <f>HYPERLINK("https://cms.ls-nyc.org/matter/dynamic-profile/view/1848994","17-1848994")</f>
        <v>0</v>
      </c>
      <c r="B2023" t="s">
        <v>15</v>
      </c>
      <c r="C2023" t="s">
        <v>56</v>
      </c>
      <c r="D2023" t="s">
        <v>1625</v>
      </c>
      <c r="E2023" t="s">
        <v>1810</v>
      </c>
      <c r="F2023" t="s">
        <v>1853</v>
      </c>
      <c r="G2023" t="s">
        <v>1862</v>
      </c>
      <c r="H2023" t="s">
        <v>1864</v>
      </c>
      <c r="J2023" t="s">
        <v>1869</v>
      </c>
    </row>
    <row r="2024" spans="1:10">
      <c r="A2024" s="1">
        <f>HYPERLINK("https://cms.ls-nyc.org/matter/dynamic-profile/view/1849046","17-1849046")</f>
        <v>0</v>
      </c>
      <c r="B2024" t="s">
        <v>12</v>
      </c>
      <c r="C2024" t="s">
        <v>33</v>
      </c>
      <c r="D2024" t="s">
        <v>1626</v>
      </c>
      <c r="E2024" t="s">
        <v>1850</v>
      </c>
      <c r="G2024" t="s">
        <v>1862</v>
      </c>
      <c r="J2024" t="s">
        <v>1866</v>
      </c>
    </row>
    <row r="2025" spans="1:10">
      <c r="A2025" s="1">
        <f>HYPERLINK("https://cms.ls-nyc.org/matter/dynamic-profile/view/1844741","17-1844741")</f>
        <v>0</v>
      </c>
      <c r="B2025" t="s">
        <v>14</v>
      </c>
      <c r="C2025" t="s">
        <v>28</v>
      </c>
      <c r="D2025" t="s">
        <v>346</v>
      </c>
      <c r="E2025" t="s">
        <v>1815</v>
      </c>
      <c r="F2025" t="s">
        <v>1853</v>
      </c>
      <c r="G2025" t="s">
        <v>1862</v>
      </c>
      <c r="J2025" t="s">
        <v>1867</v>
      </c>
    </row>
    <row r="2026" spans="1:10">
      <c r="A2026" s="1">
        <f>HYPERLINK("https://cms.ls-nyc.org/matter/dynamic-profile/view/1844741","17-1844741")</f>
        <v>0</v>
      </c>
      <c r="B2026" t="s">
        <v>14</v>
      </c>
      <c r="C2026" t="s">
        <v>28</v>
      </c>
      <c r="D2026" t="s">
        <v>346</v>
      </c>
      <c r="E2026" t="s">
        <v>1815</v>
      </c>
      <c r="F2026" t="s">
        <v>1853</v>
      </c>
      <c r="G2026" t="s">
        <v>1862</v>
      </c>
      <c r="J2026" t="s">
        <v>1867</v>
      </c>
    </row>
    <row r="2027" spans="1:10">
      <c r="A2027" s="1">
        <f>HYPERLINK("https://cms.ls-nyc.org/matter/dynamic-profile/view/1848725","17-1848725")</f>
        <v>0</v>
      </c>
      <c r="B2027" t="s">
        <v>10</v>
      </c>
      <c r="C2027" t="s">
        <v>16</v>
      </c>
      <c r="D2027" t="s">
        <v>1627</v>
      </c>
      <c r="E2027" t="s">
        <v>1815</v>
      </c>
      <c r="F2027" t="s">
        <v>1853</v>
      </c>
      <c r="G2027" t="s">
        <v>1862</v>
      </c>
      <c r="H2027" t="s">
        <v>1863</v>
      </c>
      <c r="J2027" t="s">
        <v>1867</v>
      </c>
    </row>
    <row r="2028" spans="1:10">
      <c r="A2028" s="1">
        <f>HYPERLINK("https://cms.ls-nyc.org/matter/dynamic-profile/view/1848726","17-1848726")</f>
        <v>0</v>
      </c>
      <c r="B2028" t="s">
        <v>10</v>
      </c>
      <c r="C2028" t="s">
        <v>16</v>
      </c>
      <c r="D2028" t="s">
        <v>1628</v>
      </c>
      <c r="E2028" t="s">
        <v>1815</v>
      </c>
      <c r="F2028" t="s">
        <v>1853</v>
      </c>
      <c r="G2028" t="s">
        <v>1862</v>
      </c>
      <c r="H2028" t="s">
        <v>1863</v>
      </c>
      <c r="J2028" t="s">
        <v>1867</v>
      </c>
    </row>
    <row r="2029" spans="1:10">
      <c r="A2029" s="1">
        <f>HYPERLINK("https://cms.ls-nyc.org/matter/dynamic-profile/view/1848610","17-1848610")</f>
        <v>0</v>
      </c>
      <c r="B2029" t="s">
        <v>10</v>
      </c>
      <c r="C2029" t="s">
        <v>16</v>
      </c>
      <c r="D2029" t="s">
        <v>1629</v>
      </c>
      <c r="E2029" t="s">
        <v>1815</v>
      </c>
      <c r="F2029" t="s">
        <v>1858</v>
      </c>
      <c r="G2029" t="s">
        <v>1862</v>
      </c>
      <c r="J2029" t="s">
        <v>1868</v>
      </c>
    </row>
    <row r="2030" spans="1:10">
      <c r="A2030" s="1">
        <f>HYPERLINK("https://cms.ls-nyc.org/matter/dynamic-profile/view/1848619","17-1848619")</f>
        <v>0</v>
      </c>
      <c r="B2030" t="s">
        <v>11</v>
      </c>
      <c r="C2030" t="s">
        <v>32</v>
      </c>
      <c r="D2030" t="s">
        <v>1630</v>
      </c>
      <c r="E2030" t="s">
        <v>1804</v>
      </c>
      <c r="F2030" t="s">
        <v>1853</v>
      </c>
      <c r="G2030" t="s">
        <v>1862</v>
      </c>
      <c r="J2030" t="s">
        <v>1867</v>
      </c>
    </row>
    <row r="2031" spans="1:10">
      <c r="A2031" s="1">
        <f>HYPERLINK("https://cms.ls-nyc.org/matter/dynamic-profile/view/1848446","17-1848446")</f>
        <v>0</v>
      </c>
      <c r="B2031" t="s">
        <v>12</v>
      </c>
      <c r="C2031" t="s">
        <v>40</v>
      </c>
      <c r="D2031" t="s">
        <v>1631</v>
      </c>
      <c r="E2031" t="s">
        <v>1821</v>
      </c>
      <c r="F2031" t="s">
        <v>1853</v>
      </c>
      <c r="G2031" t="s">
        <v>1862</v>
      </c>
      <c r="J2031" t="s">
        <v>1867</v>
      </c>
    </row>
    <row r="2032" spans="1:10">
      <c r="A2032" s="1">
        <f>HYPERLINK("https://cms.ls-nyc.org/matter/dynamic-profile/view/1848376","17-1848376")</f>
        <v>0</v>
      </c>
      <c r="B2032" t="s">
        <v>11</v>
      </c>
      <c r="C2032" t="s">
        <v>41</v>
      </c>
      <c r="D2032" t="s">
        <v>1632</v>
      </c>
      <c r="E2032" t="s">
        <v>1815</v>
      </c>
      <c r="F2032" t="s">
        <v>1853</v>
      </c>
      <c r="G2032" t="s">
        <v>1862</v>
      </c>
      <c r="J2032" t="s">
        <v>1867</v>
      </c>
    </row>
    <row r="2033" spans="1:10">
      <c r="A2033" s="1">
        <f>HYPERLINK("https://cms.ls-nyc.org/matter/dynamic-profile/view/1848142","17-1848142")</f>
        <v>0</v>
      </c>
      <c r="B2033" t="s">
        <v>10</v>
      </c>
      <c r="C2033" t="s">
        <v>16</v>
      </c>
      <c r="D2033" t="s">
        <v>1177</v>
      </c>
      <c r="E2033" t="s">
        <v>1815</v>
      </c>
      <c r="F2033" t="s">
        <v>1853</v>
      </c>
      <c r="G2033" t="s">
        <v>1862</v>
      </c>
      <c r="H2033" t="s">
        <v>1863</v>
      </c>
      <c r="J2033" t="s">
        <v>1867</v>
      </c>
    </row>
    <row r="2034" spans="1:10">
      <c r="A2034" s="1">
        <f>HYPERLINK("https://cms.ls-nyc.org/matter/dynamic-profile/view/1848150","17-1848150")</f>
        <v>0</v>
      </c>
      <c r="B2034" t="s">
        <v>11</v>
      </c>
      <c r="C2034" t="s">
        <v>41</v>
      </c>
      <c r="D2034" t="s">
        <v>1633</v>
      </c>
      <c r="E2034" t="s">
        <v>1815</v>
      </c>
      <c r="F2034" t="s">
        <v>1853</v>
      </c>
      <c r="G2034" t="s">
        <v>1862</v>
      </c>
      <c r="H2034" t="s">
        <v>1863</v>
      </c>
      <c r="J2034" t="s">
        <v>1867</v>
      </c>
    </row>
    <row r="2035" spans="1:10">
      <c r="A2035" s="1">
        <f>HYPERLINK("https://cms.ls-nyc.org/matter/dynamic-profile/view/1848182","17-1848182")</f>
        <v>0</v>
      </c>
      <c r="B2035" t="s">
        <v>10</v>
      </c>
      <c r="C2035" t="s">
        <v>16</v>
      </c>
      <c r="D2035" t="s">
        <v>1350</v>
      </c>
      <c r="E2035" t="s">
        <v>1815</v>
      </c>
      <c r="F2035" t="s">
        <v>1853</v>
      </c>
      <c r="G2035" t="s">
        <v>1862</v>
      </c>
      <c r="H2035" t="s">
        <v>1863</v>
      </c>
      <c r="J2035" t="s">
        <v>1867</v>
      </c>
    </row>
    <row r="2036" spans="1:10">
      <c r="A2036" s="1">
        <f>HYPERLINK("https://cms.ls-nyc.org/matter/dynamic-profile/view/1848025","17-1848025")</f>
        <v>0</v>
      </c>
      <c r="B2036" t="s">
        <v>10</v>
      </c>
      <c r="C2036" t="s">
        <v>16</v>
      </c>
      <c r="D2036" t="s">
        <v>1634</v>
      </c>
      <c r="E2036" t="s">
        <v>1815</v>
      </c>
      <c r="F2036" t="s">
        <v>1858</v>
      </c>
      <c r="G2036" t="s">
        <v>1862</v>
      </c>
      <c r="J2036" t="s">
        <v>1868</v>
      </c>
    </row>
    <row r="2037" spans="1:10">
      <c r="A2037" s="1">
        <f>HYPERLINK("https://cms.ls-nyc.org/matter/dynamic-profile/view/1847948","17-1847948")</f>
        <v>0</v>
      </c>
      <c r="B2037" t="s">
        <v>10</v>
      </c>
      <c r="C2037" t="s">
        <v>16</v>
      </c>
      <c r="D2037" t="s">
        <v>1635</v>
      </c>
      <c r="E2037" t="s">
        <v>1815</v>
      </c>
      <c r="F2037" t="s">
        <v>1853</v>
      </c>
      <c r="G2037" t="s">
        <v>1862</v>
      </c>
      <c r="H2037" t="s">
        <v>1863</v>
      </c>
      <c r="J2037" t="s">
        <v>1869</v>
      </c>
    </row>
    <row r="2038" spans="1:10">
      <c r="A2038" s="1">
        <f>HYPERLINK("https://cms.ls-nyc.org/matter/dynamic-profile/view/1847965","17-1847965")</f>
        <v>0</v>
      </c>
      <c r="B2038" t="s">
        <v>10</v>
      </c>
      <c r="C2038" t="s">
        <v>17</v>
      </c>
      <c r="D2038" t="s">
        <v>1636</v>
      </c>
      <c r="E2038" t="s">
        <v>1815</v>
      </c>
      <c r="F2038" t="s">
        <v>1858</v>
      </c>
      <c r="G2038" t="s">
        <v>1862</v>
      </c>
      <c r="H2038" t="s">
        <v>1863</v>
      </c>
      <c r="J2038" t="s">
        <v>1868</v>
      </c>
    </row>
    <row r="2039" spans="1:10">
      <c r="A2039" s="1">
        <f>HYPERLINK("https://cms.ls-nyc.org/matter/dynamic-profile/view/1848003","17-1848003")</f>
        <v>0</v>
      </c>
      <c r="B2039" t="s">
        <v>10</v>
      </c>
      <c r="C2039" t="s">
        <v>16</v>
      </c>
      <c r="D2039" t="s">
        <v>1637</v>
      </c>
      <c r="E2039" t="s">
        <v>1815</v>
      </c>
      <c r="F2039" t="s">
        <v>1853</v>
      </c>
      <c r="G2039" t="s">
        <v>1862</v>
      </c>
      <c r="H2039" t="s">
        <v>1863</v>
      </c>
      <c r="J2039" t="s">
        <v>1867</v>
      </c>
    </row>
    <row r="2040" spans="1:10">
      <c r="A2040" s="1">
        <f>HYPERLINK("https://cms.ls-nyc.org/matter/dynamic-profile/view/1848026","17-1848026")</f>
        <v>0</v>
      </c>
      <c r="B2040" t="s">
        <v>13</v>
      </c>
      <c r="C2040" t="s">
        <v>43</v>
      </c>
      <c r="D2040" t="s">
        <v>1492</v>
      </c>
      <c r="E2040" t="s">
        <v>1807</v>
      </c>
      <c r="F2040" t="s">
        <v>1853</v>
      </c>
      <c r="G2040" t="s">
        <v>1862</v>
      </c>
      <c r="J2040" t="s">
        <v>1869</v>
      </c>
    </row>
    <row r="2041" spans="1:10">
      <c r="A2041" s="1">
        <f>HYPERLINK("https://cms.ls-nyc.org/matter/dynamic-profile/view/1848049","17-1848049")</f>
        <v>0</v>
      </c>
      <c r="B2041" t="s">
        <v>10</v>
      </c>
      <c r="C2041" t="s">
        <v>16</v>
      </c>
      <c r="D2041" t="s">
        <v>1638</v>
      </c>
      <c r="E2041" t="s">
        <v>1825</v>
      </c>
      <c r="F2041" t="s">
        <v>1853</v>
      </c>
      <c r="G2041" t="s">
        <v>1862</v>
      </c>
      <c r="J2041" t="s">
        <v>1867</v>
      </c>
    </row>
    <row r="2042" spans="1:10">
      <c r="A2042" s="1">
        <f>HYPERLINK("https://cms.ls-nyc.org/matter/dynamic-profile/view/1847692","17-1847692")</f>
        <v>0</v>
      </c>
      <c r="B2042" t="s">
        <v>15</v>
      </c>
      <c r="C2042" t="s">
        <v>59</v>
      </c>
      <c r="D2042" t="s">
        <v>1639</v>
      </c>
      <c r="E2042" t="s">
        <v>1821</v>
      </c>
      <c r="F2042" t="s">
        <v>1853</v>
      </c>
      <c r="G2042" t="s">
        <v>1862</v>
      </c>
      <c r="H2042" t="s">
        <v>1864</v>
      </c>
      <c r="J2042" t="s">
        <v>1867</v>
      </c>
    </row>
    <row r="2043" spans="1:10">
      <c r="A2043" s="1">
        <f>HYPERLINK("https://cms.ls-nyc.org/matter/dynamic-profile/view/1847472","17-1847472")</f>
        <v>0</v>
      </c>
      <c r="B2043" t="s">
        <v>11</v>
      </c>
      <c r="C2043" t="s">
        <v>38</v>
      </c>
      <c r="D2043" t="s">
        <v>1640</v>
      </c>
      <c r="E2043" t="s">
        <v>1815</v>
      </c>
      <c r="F2043" t="s">
        <v>1853</v>
      </c>
      <c r="G2043" t="s">
        <v>1862</v>
      </c>
      <c r="H2043" t="s">
        <v>1863</v>
      </c>
      <c r="J2043" t="s">
        <v>1867</v>
      </c>
    </row>
    <row r="2044" spans="1:10">
      <c r="A2044" s="1">
        <f>HYPERLINK("https://cms.ls-nyc.org/matter/dynamic-profile/view/1847503","17-1847503")</f>
        <v>0</v>
      </c>
      <c r="B2044" t="s">
        <v>11</v>
      </c>
      <c r="C2044" t="s">
        <v>18</v>
      </c>
      <c r="D2044" t="s">
        <v>1641</v>
      </c>
      <c r="E2044" t="s">
        <v>1815</v>
      </c>
      <c r="F2044" t="s">
        <v>1853</v>
      </c>
      <c r="G2044" t="s">
        <v>1862</v>
      </c>
      <c r="H2044" t="s">
        <v>1864</v>
      </c>
      <c r="J2044" t="s">
        <v>1867</v>
      </c>
    </row>
    <row r="2045" spans="1:10">
      <c r="A2045" s="1">
        <f>HYPERLINK("https://cms.ls-nyc.org/matter/dynamic-profile/view/1847549","17-1847549")</f>
        <v>0</v>
      </c>
      <c r="B2045" t="s">
        <v>11</v>
      </c>
      <c r="C2045" t="s">
        <v>18</v>
      </c>
      <c r="D2045" t="s">
        <v>1642</v>
      </c>
      <c r="E2045" t="s">
        <v>1816</v>
      </c>
      <c r="F2045" t="s">
        <v>1853</v>
      </c>
      <c r="G2045" t="s">
        <v>1862</v>
      </c>
      <c r="H2045" t="s">
        <v>1863</v>
      </c>
      <c r="J2045" t="s">
        <v>1867</v>
      </c>
    </row>
    <row r="2046" spans="1:10">
      <c r="A2046" s="1">
        <f>HYPERLINK("https://cms.ls-nyc.org/matter/dynamic-profile/view/1847340","17-1847340")</f>
        <v>0</v>
      </c>
      <c r="B2046" t="s">
        <v>11</v>
      </c>
      <c r="C2046" t="s">
        <v>18</v>
      </c>
      <c r="D2046" t="s">
        <v>1643</v>
      </c>
      <c r="E2046" t="s">
        <v>1815</v>
      </c>
      <c r="F2046" t="s">
        <v>1853</v>
      </c>
      <c r="G2046" t="s">
        <v>1862</v>
      </c>
      <c r="H2046" t="s">
        <v>1863</v>
      </c>
      <c r="J2046" t="s">
        <v>1867</v>
      </c>
    </row>
    <row r="2047" spans="1:10">
      <c r="A2047" s="1">
        <f>HYPERLINK("https://cms.ls-nyc.org/matter/dynamic-profile/view/1847390","17-1847390")</f>
        <v>0</v>
      </c>
      <c r="B2047" t="s">
        <v>14</v>
      </c>
      <c r="C2047" t="s">
        <v>31</v>
      </c>
      <c r="D2047" t="s">
        <v>1029</v>
      </c>
      <c r="E2047" t="s">
        <v>1833</v>
      </c>
      <c r="F2047" t="s">
        <v>1853</v>
      </c>
      <c r="G2047" t="s">
        <v>1862</v>
      </c>
      <c r="H2047" t="s">
        <v>1863</v>
      </c>
      <c r="J2047" t="s">
        <v>1869</v>
      </c>
    </row>
    <row r="2048" spans="1:10">
      <c r="A2048" s="1">
        <f>HYPERLINK("https://cms.ls-nyc.org/matter/dynamic-profile/view/1847396","17-1847396")</f>
        <v>0</v>
      </c>
      <c r="B2048" t="s">
        <v>11</v>
      </c>
      <c r="C2048" t="s">
        <v>41</v>
      </c>
      <c r="D2048" t="s">
        <v>1644</v>
      </c>
      <c r="E2048" t="s">
        <v>1815</v>
      </c>
      <c r="F2048" t="s">
        <v>1853</v>
      </c>
      <c r="G2048" t="s">
        <v>1862</v>
      </c>
      <c r="H2048" t="s">
        <v>1863</v>
      </c>
      <c r="I2048" t="s">
        <v>1865</v>
      </c>
      <c r="J2048" t="s">
        <v>1866</v>
      </c>
    </row>
    <row r="2049" spans="1:10">
      <c r="A2049" s="1">
        <f>HYPERLINK("https://cms.ls-nyc.org/matter/dynamic-profile/view/1846950","17-1846950")</f>
        <v>0</v>
      </c>
      <c r="B2049" t="s">
        <v>11</v>
      </c>
      <c r="C2049" t="s">
        <v>38</v>
      </c>
      <c r="D2049" t="s">
        <v>1645</v>
      </c>
      <c r="E2049" t="s">
        <v>1815</v>
      </c>
      <c r="F2049" t="s">
        <v>1853</v>
      </c>
      <c r="G2049" t="s">
        <v>1862</v>
      </c>
      <c r="H2049" t="s">
        <v>1863</v>
      </c>
      <c r="J2049" t="s">
        <v>1867</v>
      </c>
    </row>
    <row r="2050" spans="1:10">
      <c r="A2050" s="1">
        <f>HYPERLINK("https://cms.ls-nyc.org/matter/dynamic-profile/view/1846780","17-1846780")</f>
        <v>0</v>
      </c>
      <c r="B2050" t="s">
        <v>11</v>
      </c>
      <c r="C2050" t="s">
        <v>38</v>
      </c>
      <c r="D2050" t="s">
        <v>1646</v>
      </c>
      <c r="E2050" t="s">
        <v>1815</v>
      </c>
      <c r="F2050" t="s">
        <v>1853</v>
      </c>
      <c r="G2050" t="s">
        <v>1862</v>
      </c>
      <c r="H2050" t="s">
        <v>1864</v>
      </c>
      <c r="J2050" t="s">
        <v>1867</v>
      </c>
    </row>
    <row r="2051" spans="1:10">
      <c r="A2051" s="1">
        <f>HYPERLINK("https://cms.ls-nyc.org/matter/dynamic-profile/view/1846781","17-1846781")</f>
        <v>0</v>
      </c>
      <c r="B2051" t="s">
        <v>11</v>
      </c>
      <c r="C2051" t="s">
        <v>38</v>
      </c>
      <c r="D2051" t="s">
        <v>1647</v>
      </c>
      <c r="E2051" t="s">
        <v>1815</v>
      </c>
      <c r="F2051" t="s">
        <v>1853</v>
      </c>
      <c r="G2051" t="s">
        <v>1862</v>
      </c>
      <c r="H2051" t="s">
        <v>1864</v>
      </c>
      <c r="J2051" t="s">
        <v>1867</v>
      </c>
    </row>
    <row r="2052" spans="1:10">
      <c r="A2052" s="1">
        <f>HYPERLINK("https://cms.ls-nyc.org/matter/dynamic-profile/view/1846830","17-1846830")</f>
        <v>0</v>
      </c>
      <c r="B2052" t="s">
        <v>14</v>
      </c>
      <c r="C2052" t="s">
        <v>28</v>
      </c>
      <c r="D2052" t="s">
        <v>1648</v>
      </c>
      <c r="E2052" t="s">
        <v>1815</v>
      </c>
      <c r="F2052" t="s">
        <v>1853</v>
      </c>
      <c r="G2052" t="s">
        <v>1862</v>
      </c>
      <c r="J2052" t="s">
        <v>1867</v>
      </c>
    </row>
    <row r="2053" spans="1:10">
      <c r="A2053" s="1">
        <f>HYPERLINK("https://cms.ls-nyc.org/matter/dynamic-profile/view/1846559","17-1846559")</f>
        <v>0</v>
      </c>
      <c r="B2053" t="s">
        <v>10</v>
      </c>
      <c r="C2053" t="s">
        <v>16</v>
      </c>
      <c r="D2053" t="s">
        <v>1287</v>
      </c>
      <c r="E2053" t="s">
        <v>1815</v>
      </c>
      <c r="F2053" t="s">
        <v>1853</v>
      </c>
      <c r="G2053" t="s">
        <v>1862</v>
      </c>
      <c r="H2053" t="s">
        <v>1863</v>
      </c>
      <c r="J2053" t="s">
        <v>1867</v>
      </c>
    </row>
    <row r="2054" spans="1:10">
      <c r="A2054" s="1">
        <f>HYPERLINK("https://cms.ls-nyc.org/matter/dynamic-profile/view/1846422","17-1846422")</f>
        <v>0</v>
      </c>
      <c r="B2054" t="s">
        <v>15</v>
      </c>
      <c r="C2054" t="s">
        <v>34</v>
      </c>
      <c r="D2054" t="s">
        <v>1649</v>
      </c>
      <c r="E2054" t="s">
        <v>1803</v>
      </c>
      <c r="F2054" t="s">
        <v>1855</v>
      </c>
      <c r="G2054" t="s">
        <v>1862</v>
      </c>
      <c r="H2054" t="s">
        <v>1863</v>
      </c>
      <c r="J2054" t="s">
        <v>1871</v>
      </c>
    </row>
    <row r="2055" spans="1:10">
      <c r="A2055" s="1">
        <f>HYPERLINK("https://cms.ls-nyc.org/matter/dynamic-profile/view/1846496","17-1846496")</f>
        <v>0</v>
      </c>
      <c r="B2055" t="s">
        <v>10</v>
      </c>
      <c r="C2055" t="s">
        <v>16</v>
      </c>
      <c r="D2055" t="s">
        <v>138</v>
      </c>
      <c r="E2055" t="s">
        <v>1810</v>
      </c>
      <c r="F2055" t="s">
        <v>1853</v>
      </c>
      <c r="G2055" t="s">
        <v>1862</v>
      </c>
      <c r="H2055" t="s">
        <v>1863</v>
      </c>
      <c r="J2055" t="s">
        <v>1869</v>
      </c>
    </row>
    <row r="2056" spans="1:10">
      <c r="A2056" s="1">
        <f>HYPERLINK("https://cms.ls-nyc.org/matter/dynamic-profile/view/1846389","17-1846389")</f>
        <v>0</v>
      </c>
      <c r="B2056" t="s">
        <v>10</v>
      </c>
      <c r="C2056" t="s">
        <v>16</v>
      </c>
      <c r="D2056" t="s">
        <v>1650</v>
      </c>
      <c r="E2056" t="s">
        <v>1815</v>
      </c>
      <c r="F2056" t="s">
        <v>1858</v>
      </c>
      <c r="G2056" t="s">
        <v>1862</v>
      </c>
      <c r="J2056" t="s">
        <v>1868</v>
      </c>
    </row>
    <row r="2057" spans="1:10">
      <c r="A2057" s="1">
        <f>HYPERLINK("https://cms.ls-nyc.org/matter/dynamic-profile/view/1846371","17-1846371")</f>
        <v>0</v>
      </c>
      <c r="B2057" t="s">
        <v>10</v>
      </c>
      <c r="C2057" t="s">
        <v>17</v>
      </c>
      <c r="D2057" t="s">
        <v>169</v>
      </c>
      <c r="E2057" t="s">
        <v>1815</v>
      </c>
      <c r="F2057" t="s">
        <v>1853</v>
      </c>
      <c r="G2057" t="s">
        <v>1862</v>
      </c>
      <c r="H2057" t="s">
        <v>1863</v>
      </c>
      <c r="J2057" t="s">
        <v>1867</v>
      </c>
    </row>
    <row r="2058" spans="1:10">
      <c r="A2058" s="1">
        <f>HYPERLINK("https://cms.ls-nyc.org/matter/dynamic-profile/view/1846376","17-1846376")</f>
        <v>0</v>
      </c>
      <c r="B2058" t="s">
        <v>10</v>
      </c>
      <c r="C2058" t="s">
        <v>16</v>
      </c>
      <c r="D2058" t="s">
        <v>384</v>
      </c>
      <c r="E2058" t="s">
        <v>1810</v>
      </c>
      <c r="F2058" t="s">
        <v>1853</v>
      </c>
      <c r="G2058" t="s">
        <v>1862</v>
      </c>
      <c r="H2058" t="s">
        <v>1863</v>
      </c>
      <c r="J2058" t="s">
        <v>1869</v>
      </c>
    </row>
    <row r="2059" spans="1:10">
      <c r="A2059" s="1">
        <f>HYPERLINK("https://cms.ls-nyc.org/matter/dynamic-profile/view/1846278","17-1846278")</f>
        <v>0</v>
      </c>
      <c r="B2059" t="s">
        <v>12</v>
      </c>
      <c r="C2059" t="s">
        <v>33</v>
      </c>
      <c r="D2059" t="s">
        <v>1651</v>
      </c>
      <c r="E2059" t="s">
        <v>1807</v>
      </c>
      <c r="F2059" t="s">
        <v>1853</v>
      </c>
      <c r="G2059" t="s">
        <v>1862</v>
      </c>
      <c r="H2059" t="s">
        <v>1863</v>
      </c>
      <c r="J2059" t="s">
        <v>1869</v>
      </c>
    </row>
    <row r="2060" spans="1:10">
      <c r="A2060" s="1">
        <f>HYPERLINK("https://cms.ls-nyc.org/matter/dynamic-profile/view/1845051","17-1845051")</f>
        <v>0</v>
      </c>
      <c r="B2060" t="s">
        <v>13</v>
      </c>
      <c r="C2060" t="s">
        <v>43</v>
      </c>
      <c r="D2060" t="s">
        <v>1652</v>
      </c>
      <c r="E2060" t="s">
        <v>1809</v>
      </c>
      <c r="G2060" t="s">
        <v>1862</v>
      </c>
      <c r="H2060" t="s">
        <v>1863</v>
      </c>
      <c r="J2060" t="s">
        <v>1871</v>
      </c>
    </row>
    <row r="2061" spans="1:10">
      <c r="A2061" s="1">
        <f>HYPERLINK("https://cms.ls-nyc.org/matter/dynamic-profile/view/1846186","17-1846186")</f>
        <v>0</v>
      </c>
      <c r="B2061" t="s">
        <v>11</v>
      </c>
      <c r="C2061" t="s">
        <v>18</v>
      </c>
      <c r="D2061" t="s">
        <v>1653</v>
      </c>
      <c r="E2061" t="s">
        <v>1799</v>
      </c>
      <c r="F2061" t="s">
        <v>1853</v>
      </c>
      <c r="G2061" t="s">
        <v>1862</v>
      </c>
      <c r="H2061" t="s">
        <v>1863</v>
      </c>
      <c r="J2061" t="s">
        <v>1867</v>
      </c>
    </row>
    <row r="2062" spans="1:10">
      <c r="A2062" s="1">
        <f>HYPERLINK("https://cms.ls-nyc.org/matter/dynamic-profile/view/1846095","17-1846095")</f>
        <v>0</v>
      </c>
      <c r="B2062" t="s">
        <v>15</v>
      </c>
      <c r="C2062" t="s">
        <v>34</v>
      </c>
      <c r="D2062" t="s">
        <v>1654</v>
      </c>
      <c r="E2062" t="s">
        <v>1821</v>
      </c>
      <c r="F2062" t="s">
        <v>1853</v>
      </c>
      <c r="G2062" t="s">
        <v>1862</v>
      </c>
      <c r="H2062" t="s">
        <v>1863</v>
      </c>
      <c r="J2062" t="s">
        <v>1867</v>
      </c>
    </row>
    <row r="2063" spans="1:10">
      <c r="A2063" s="1">
        <f>HYPERLINK("https://cms.ls-nyc.org/matter/dynamic-profile/view/1846134","17-1846134")</f>
        <v>0</v>
      </c>
      <c r="B2063" t="s">
        <v>12</v>
      </c>
      <c r="C2063" t="s">
        <v>20</v>
      </c>
      <c r="D2063" t="s">
        <v>1210</v>
      </c>
      <c r="E2063" t="s">
        <v>1809</v>
      </c>
      <c r="F2063" t="s">
        <v>1855</v>
      </c>
      <c r="G2063" t="s">
        <v>1862</v>
      </c>
      <c r="H2063" t="s">
        <v>1863</v>
      </c>
      <c r="J2063" t="s">
        <v>1870</v>
      </c>
    </row>
    <row r="2064" spans="1:10">
      <c r="A2064" s="1">
        <f>HYPERLINK("https://cms.ls-nyc.org/matter/dynamic-profile/view/1846135","17-1846135")</f>
        <v>0</v>
      </c>
      <c r="B2064" t="s">
        <v>12</v>
      </c>
      <c r="C2064" t="s">
        <v>20</v>
      </c>
      <c r="D2064" t="s">
        <v>1211</v>
      </c>
      <c r="E2064" t="s">
        <v>1809</v>
      </c>
      <c r="F2064" t="s">
        <v>1855</v>
      </c>
      <c r="G2064" t="s">
        <v>1862</v>
      </c>
      <c r="H2064" t="s">
        <v>1863</v>
      </c>
      <c r="J2064" t="s">
        <v>1870</v>
      </c>
    </row>
    <row r="2065" spans="1:10">
      <c r="A2065" s="1">
        <f>HYPERLINK("https://cms.ls-nyc.org/matter/dynamic-profile/view/1845951","17-1845951")</f>
        <v>0</v>
      </c>
      <c r="B2065" t="s">
        <v>10</v>
      </c>
      <c r="C2065" t="s">
        <v>16</v>
      </c>
      <c r="D2065" t="s">
        <v>1655</v>
      </c>
      <c r="E2065" t="s">
        <v>1815</v>
      </c>
      <c r="F2065" t="s">
        <v>1858</v>
      </c>
      <c r="G2065" t="s">
        <v>1862</v>
      </c>
      <c r="J2065" t="s">
        <v>1868</v>
      </c>
    </row>
    <row r="2066" spans="1:10">
      <c r="A2066" s="1">
        <f>HYPERLINK("https://cms.ls-nyc.org/matter/dynamic-profile/view/1845877","17-1845877")</f>
        <v>0</v>
      </c>
      <c r="B2066" t="s">
        <v>10</v>
      </c>
      <c r="C2066" t="s">
        <v>41</v>
      </c>
      <c r="D2066" t="s">
        <v>1656</v>
      </c>
      <c r="E2066" t="s">
        <v>1815</v>
      </c>
      <c r="F2066" t="s">
        <v>1853</v>
      </c>
      <c r="G2066" t="s">
        <v>1862</v>
      </c>
      <c r="H2066" t="s">
        <v>1863</v>
      </c>
      <c r="J2066" t="s">
        <v>1869</v>
      </c>
    </row>
    <row r="2067" spans="1:10">
      <c r="A2067" s="1">
        <f>HYPERLINK("https://cms.ls-nyc.org/matter/dynamic-profile/view/1845702","17-1845702")</f>
        <v>0</v>
      </c>
      <c r="B2067" t="s">
        <v>12</v>
      </c>
      <c r="C2067" t="s">
        <v>21</v>
      </c>
      <c r="D2067" t="s">
        <v>1657</v>
      </c>
      <c r="E2067" t="s">
        <v>1807</v>
      </c>
      <c r="F2067" t="s">
        <v>1853</v>
      </c>
      <c r="G2067" t="s">
        <v>1862</v>
      </c>
      <c r="H2067" t="s">
        <v>1863</v>
      </c>
      <c r="J2067" t="s">
        <v>1869</v>
      </c>
    </row>
    <row r="2068" spans="1:10">
      <c r="A2068" s="1">
        <f>HYPERLINK("https://cms.ls-nyc.org/matter/dynamic-profile/view/1844994","17-1844994")</f>
        <v>0</v>
      </c>
      <c r="B2068" t="s">
        <v>13</v>
      </c>
      <c r="C2068" t="s">
        <v>29</v>
      </c>
      <c r="D2068" t="s">
        <v>1658</v>
      </c>
      <c r="E2068" t="s">
        <v>1809</v>
      </c>
      <c r="F2068" t="s">
        <v>1855</v>
      </c>
      <c r="G2068" t="s">
        <v>1862</v>
      </c>
      <c r="J2068" t="s">
        <v>1871</v>
      </c>
    </row>
    <row r="2069" spans="1:10">
      <c r="A2069" s="1">
        <f>HYPERLINK("https://cms.ls-nyc.org/matter/dynamic-profile/view/1845509","17-1845509")</f>
        <v>0</v>
      </c>
      <c r="B2069" t="s">
        <v>12</v>
      </c>
      <c r="C2069" t="s">
        <v>21</v>
      </c>
      <c r="D2069" t="s">
        <v>1659</v>
      </c>
      <c r="E2069" t="s">
        <v>1807</v>
      </c>
      <c r="F2069" t="s">
        <v>1853</v>
      </c>
      <c r="G2069" t="s">
        <v>1862</v>
      </c>
      <c r="H2069" t="s">
        <v>1863</v>
      </c>
      <c r="J2069" t="s">
        <v>1869</v>
      </c>
    </row>
    <row r="2070" spans="1:10">
      <c r="A2070" s="1">
        <f>HYPERLINK("https://cms.ls-nyc.org/matter/dynamic-profile/view/1845558","17-1845558")</f>
        <v>0</v>
      </c>
      <c r="B2070" t="s">
        <v>11</v>
      </c>
      <c r="C2070" t="s">
        <v>41</v>
      </c>
      <c r="D2070" t="s">
        <v>1660</v>
      </c>
      <c r="E2070" t="s">
        <v>1815</v>
      </c>
      <c r="F2070" t="s">
        <v>1853</v>
      </c>
      <c r="G2070" t="s">
        <v>1862</v>
      </c>
      <c r="J2070" t="s">
        <v>1867</v>
      </c>
    </row>
    <row r="2071" spans="1:10">
      <c r="A2071" s="1">
        <f>HYPERLINK("https://cms.ls-nyc.org/matter/dynamic-profile/view/1845322","17-1845322")</f>
        <v>0</v>
      </c>
      <c r="B2071" t="s">
        <v>11</v>
      </c>
      <c r="C2071" t="s">
        <v>38</v>
      </c>
      <c r="D2071" t="s">
        <v>1661</v>
      </c>
      <c r="E2071" t="s">
        <v>1815</v>
      </c>
      <c r="F2071" t="s">
        <v>1853</v>
      </c>
      <c r="G2071" t="s">
        <v>1862</v>
      </c>
      <c r="J2071" t="s">
        <v>1869</v>
      </c>
    </row>
    <row r="2072" spans="1:10">
      <c r="A2072" s="1">
        <f>HYPERLINK("https://cms.ls-nyc.org/matter/dynamic-profile/view/1845342","17-1845342")</f>
        <v>0</v>
      </c>
      <c r="B2072" t="s">
        <v>11</v>
      </c>
      <c r="C2072" t="s">
        <v>38</v>
      </c>
      <c r="D2072" t="s">
        <v>1662</v>
      </c>
      <c r="E2072" t="s">
        <v>1815</v>
      </c>
      <c r="F2072" t="s">
        <v>1853</v>
      </c>
      <c r="G2072" t="s">
        <v>1862</v>
      </c>
      <c r="H2072" t="s">
        <v>1863</v>
      </c>
      <c r="I2072" t="s">
        <v>1865</v>
      </c>
      <c r="J2072" t="s">
        <v>1866</v>
      </c>
    </row>
    <row r="2073" spans="1:10">
      <c r="A2073" s="1">
        <f>HYPERLINK("https://cms.ls-nyc.org/matter/dynamic-profile/view/1845167","17-1845167")</f>
        <v>0</v>
      </c>
      <c r="B2073" t="s">
        <v>10</v>
      </c>
      <c r="C2073" t="s">
        <v>16</v>
      </c>
      <c r="D2073" t="s">
        <v>1663</v>
      </c>
      <c r="E2073" t="s">
        <v>1815</v>
      </c>
      <c r="F2073" t="s">
        <v>1858</v>
      </c>
      <c r="G2073" t="s">
        <v>1862</v>
      </c>
      <c r="J2073" t="s">
        <v>1868</v>
      </c>
    </row>
    <row r="2074" spans="1:10">
      <c r="A2074" s="1">
        <f>HYPERLINK("https://cms.ls-nyc.org/matter/dynamic-profile/view/1845086","17-1845086")</f>
        <v>0</v>
      </c>
      <c r="B2074" t="s">
        <v>11</v>
      </c>
      <c r="C2074" t="s">
        <v>32</v>
      </c>
      <c r="D2074" t="s">
        <v>1664</v>
      </c>
      <c r="E2074" t="s">
        <v>1815</v>
      </c>
      <c r="F2074" t="s">
        <v>1859</v>
      </c>
      <c r="G2074" t="s">
        <v>1862</v>
      </c>
      <c r="H2074" t="s">
        <v>1864</v>
      </c>
      <c r="J2074" t="s">
        <v>1868</v>
      </c>
    </row>
    <row r="2075" spans="1:10">
      <c r="A2075" s="1">
        <f>HYPERLINK("https://cms.ls-nyc.org/matter/dynamic-profile/view/1845156","17-1845156")</f>
        <v>0</v>
      </c>
      <c r="B2075" t="s">
        <v>10</v>
      </c>
      <c r="C2075" t="s">
        <v>16</v>
      </c>
      <c r="D2075" t="s">
        <v>1665</v>
      </c>
      <c r="E2075" t="s">
        <v>1815</v>
      </c>
      <c r="F2075" t="s">
        <v>1853</v>
      </c>
      <c r="G2075" t="s">
        <v>1862</v>
      </c>
      <c r="H2075" t="s">
        <v>1863</v>
      </c>
      <c r="J2075" t="s">
        <v>1869</v>
      </c>
    </row>
    <row r="2076" spans="1:10">
      <c r="A2076" s="1">
        <f>HYPERLINK("https://cms.ls-nyc.org/matter/dynamic-profile/view/1845173","17-1845173")</f>
        <v>0</v>
      </c>
      <c r="B2076" t="s">
        <v>11</v>
      </c>
      <c r="C2076" t="s">
        <v>41</v>
      </c>
      <c r="D2076" t="s">
        <v>1666</v>
      </c>
      <c r="E2076" t="s">
        <v>1815</v>
      </c>
      <c r="F2076" t="s">
        <v>1853</v>
      </c>
      <c r="G2076" t="s">
        <v>1862</v>
      </c>
      <c r="J2076" t="s">
        <v>1867</v>
      </c>
    </row>
    <row r="2077" spans="1:10">
      <c r="A2077" s="1">
        <f>HYPERLINK("https://cms.ls-nyc.org/matter/dynamic-profile/view/1845017","17-1845017")</f>
        <v>0</v>
      </c>
      <c r="B2077" t="s">
        <v>12</v>
      </c>
      <c r="C2077" t="s">
        <v>20</v>
      </c>
      <c r="D2077" t="s">
        <v>1667</v>
      </c>
      <c r="E2077" t="s">
        <v>1809</v>
      </c>
      <c r="G2077" t="s">
        <v>1862</v>
      </c>
      <c r="I2077" t="s">
        <v>1865</v>
      </c>
      <c r="J2077" t="s">
        <v>1866</v>
      </c>
    </row>
    <row r="2078" spans="1:10">
      <c r="A2078" s="1">
        <f>HYPERLINK("https://cms.ls-nyc.org/matter/dynamic-profile/view/1845531","17-1845531")</f>
        <v>0</v>
      </c>
      <c r="B2078" t="s">
        <v>13</v>
      </c>
      <c r="C2078" t="s">
        <v>29</v>
      </c>
      <c r="D2078" t="s">
        <v>1449</v>
      </c>
      <c r="F2078" t="s">
        <v>1857</v>
      </c>
      <c r="G2078" t="s">
        <v>1862</v>
      </c>
      <c r="H2078" t="s">
        <v>1863</v>
      </c>
      <c r="J2078" t="s">
        <v>1869</v>
      </c>
    </row>
    <row r="2079" spans="1:10">
      <c r="A2079" s="1">
        <f>HYPERLINK("https://cms.ls-nyc.org/matter/dynamic-profile/view/1844898","17-1844898")</f>
        <v>0</v>
      </c>
      <c r="B2079" t="s">
        <v>13</v>
      </c>
      <c r="C2079" t="s">
        <v>43</v>
      </c>
      <c r="D2079" t="s">
        <v>1624</v>
      </c>
      <c r="E2079" t="s">
        <v>1802</v>
      </c>
      <c r="F2079" t="s">
        <v>1853</v>
      </c>
      <c r="G2079" t="s">
        <v>1862</v>
      </c>
      <c r="H2079" t="s">
        <v>1863</v>
      </c>
      <c r="J2079" t="s">
        <v>1869</v>
      </c>
    </row>
    <row r="2080" spans="1:10">
      <c r="A2080" s="1">
        <f>HYPERLINK("https://cms.ls-nyc.org/matter/dynamic-profile/view/1844526","17-1844526")</f>
        <v>0</v>
      </c>
      <c r="B2080" t="s">
        <v>12</v>
      </c>
      <c r="C2080" t="s">
        <v>33</v>
      </c>
      <c r="D2080" t="s">
        <v>1668</v>
      </c>
      <c r="E2080" t="s">
        <v>1807</v>
      </c>
      <c r="F2080" t="s">
        <v>1853</v>
      </c>
      <c r="G2080" t="s">
        <v>1862</v>
      </c>
      <c r="H2080" t="s">
        <v>1863</v>
      </c>
      <c r="J2080" t="s">
        <v>1869</v>
      </c>
    </row>
    <row r="2081" spans="1:10">
      <c r="A2081" s="1">
        <f>HYPERLINK("https://cms.ls-nyc.org/matter/dynamic-profile/view/1844510","17-1844510")</f>
        <v>0</v>
      </c>
      <c r="B2081" t="s">
        <v>10</v>
      </c>
      <c r="C2081" t="s">
        <v>16</v>
      </c>
      <c r="D2081" t="s">
        <v>1283</v>
      </c>
      <c r="E2081" t="s">
        <v>1815</v>
      </c>
      <c r="F2081" t="s">
        <v>1853</v>
      </c>
      <c r="G2081" t="s">
        <v>1862</v>
      </c>
      <c r="H2081" t="s">
        <v>1863</v>
      </c>
      <c r="J2081" t="s">
        <v>1869</v>
      </c>
    </row>
    <row r="2082" spans="1:10">
      <c r="A2082" s="1">
        <f>HYPERLINK("https://cms.ls-nyc.org/matter/dynamic-profile/view/1844486","17-1844486")</f>
        <v>0</v>
      </c>
      <c r="B2082" t="s">
        <v>12</v>
      </c>
      <c r="C2082" t="s">
        <v>33</v>
      </c>
      <c r="D2082" t="s">
        <v>1669</v>
      </c>
      <c r="E2082" t="s">
        <v>1815</v>
      </c>
      <c r="G2082" t="s">
        <v>1862</v>
      </c>
      <c r="J2082" t="s">
        <v>1867</v>
      </c>
    </row>
    <row r="2083" spans="1:10">
      <c r="A2083" s="1">
        <f>HYPERLINK("https://cms.ls-nyc.org/matter/dynamic-profile/view/1844402","17-1844402")</f>
        <v>0</v>
      </c>
      <c r="B2083" t="s">
        <v>10</v>
      </c>
      <c r="C2083" t="s">
        <v>17</v>
      </c>
      <c r="D2083" t="s">
        <v>1670</v>
      </c>
      <c r="E2083" t="s">
        <v>1815</v>
      </c>
      <c r="F2083" t="s">
        <v>1853</v>
      </c>
      <c r="G2083" t="s">
        <v>1862</v>
      </c>
      <c r="H2083" t="s">
        <v>1863</v>
      </c>
      <c r="J2083" t="s">
        <v>1867</v>
      </c>
    </row>
    <row r="2084" spans="1:10">
      <c r="A2084" s="1">
        <f>HYPERLINK("https://cms.ls-nyc.org/matter/dynamic-profile/view/1844136","17-1844136")</f>
        <v>0</v>
      </c>
      <c r="B2084" t="s">
        <v>10</v>
      </c>
      <c r="C2084" t="s">
        <v>16</v>
      </c>
      <c r="D2084" t="s">
        <v>1671</v>
      </c>
      <c r="E2084" t="s">
        <v>1815</v>
      </c>
      <c r="F2084" t="s">
        <v>1858</v>
      </c>
      <c r="G2084" t="s">
        <v>1862</v>
      </c>
      <c r="J2084" t="s">
        <v>1868</v>
      </c>
    </row>
    <row r="2085" spans="1:10">
      <c r="A2085" s="1">
        <f>HYPERLINK("https://cms.ls-nyc.org/matter/dynamic-profile/view/1844163","17-1844163")</f>
        <v>0</v>
      </c>
      <c r="B2085" t="s">
        <v>10</v>
      </c>
      <c r="C2085" t="s">
        <v>16</v>
      </c>
      <c r="D2085" t="s">
        <v>1672</v>
      </c>
      <c r="E2085" t="s">
        <v>1815</v>
      </c>
      <c r="F2085" t="s">
        <v>1853</v>
      </c>
      <c r="G2085" t="s">
        <v>1862</v>
      </c>
      <c r="H2085" t="s">
        <v>1863</v>
      </c>
      <c r="J2085" t="s">
        <v>1867</v>
      </c>
    </row>
    <row r="2086" spans="1:10">
      <c r="A2086" s="1">
        <f>HYPERLINK("https://cms.ls-nyc.org/matter/dynamic-profile/view/1843740","17-1843740")</f>
        <v>0</v>
      </c>
      <c r="B2086" t="s">
        <v>10</v>
      </c>
      <c r="C2086" t="s">
        <v>16</v>
      </c>
      <c r="D2086" t="s">
        <v>441</v>
      </c>
      <c r="E2086" t="s">
        <v>1815</v>
      </c>
      <c r="F2086" t="s">
        <v>1853</v>
      </c>
      <c r="G2086" t="s">
        <v>1862</v>
      </c>
      <c r="H2086" t="s">
        <v>1863</v>
      </c>
      <c r="J2086" t="s">
        <v>1867</v>
      </c>
    </row>
    <row r="2087" spans="1:10">
      <c r="A2087" s="1">
        <f>HYPERLINK("https://cms.ls-nyc.org/matter/dynamic-profile/view/1843435","17-1843435")</f>
        <v>0</v>
      </c>
      <c r="B2087" t="s">
        <v>10</v>
      </c>
      <c r="C2087" t="s">
        <v>16</v>
      </c>
      <c r="D2087" t="s">
        <v>1673</v>
      </c>
      <c r="E2087" t="s">
        <v>1815</v>
      </c>
      <c r="F2087" t="s">
        <v>1858</v>
      </c>
      <c r="G2087" t="s">
        <v>1862</v>
      </c>
      <c r="J2087" t="s">
        <v>1868</v>
      </c>
    </row>
    <row r="2088" spans="1:10">
      <c r="A2088" s="1">
        <f>HYPERLINK("https://cms.ls-nyc.org/matter/dynamic-profile/view/1843510","17-1843510")</f>
        <v>0</v>
      </c>
      <c r="B2088" t="s">
        <v>15</v>
      </c>
      <c r="C2088" t="s">
        <v>59</v>
      </c>
      <c r="D2088" t="s">
        <v>1674</v>
      </c>
      <c r="E2088" t="s">
        <v>1816</v>
      </c>
      <c r="F2088" t="s">
        <v>1853</v>
      </c>
      <c r="G2088" t="s">
        <v>1862</v>
      </c>
      <c r="H2088" t="s">
        <v>1863</v>
      </c>
      <c r="J2088" t="s">
        <v>1867</v>
      </c>
    </row>
    <row r="2089" spans="1:10">
      <c r="A2089" s="1">
        <f>HYPERLINK("https://cms.ls-nyc.org/matter/dynamic-profile/view/1843524","17-1843524")</f>
        <v>0</v>
      </c>
      <c r="B2089" t="s">
        <v>15</v>
      </c>
      <c r="C2089" t="s">
        <v>59</v>
      </c>
      <c r="D2089" t="s">
        <v>1674</v>
      </c>
      <c r="E2089" t="s">
        <v>1816</v>
      </c>
      <c r="F2089" t="s">
        <v>1853</v>
      </c>
      <c r="G2089" t="s">
        <v>1862</v>
      </c>
      <c r="H2089" t="s">
        <v>1863</v>
      </c>
      <c r="J2089" t="s">
        <v>1867</v>
      </c>
    </row>
    <row r="2090" spans="1:10">
      <c r="A2090" s="1">
        <f>HYPERLINK("https://cms.ls-nyc.org/matter/dynamic-profile/view/1843525","17-1843525")</f>
        <v>0</v>
      </c>
      <c r="B2090" t="s">
        <v>15</v>
      </c>
      <c r="C2090" t="s">
        <v>59</v>
      </c>
      <c r="D2090" t="s">
        <v>1674</v>
      </c>
      <c r="E2090" t="s">
        <v>1816</v>
      </c>
      <c r="F2090" t="s">
        <v>1853</v>
      </c>
      <c r="G2090" t="s">
        <v>1862</v>
      </c>
      <c r="H2090" t="s">
        <v>1863</v>
      </c>
      <c r="J2090" t="s">
        <v>1867</v>
      </c>
    </row>
    <row r="2091" spans="1:10">
      <c r="A2091" s="1">
        <f>HYPERLINK("https://cms.ls-nyc.org/matter/dynamic-profile/view/1843307","17-1843307")</f>
        <v>0</v>
      </c>
      <c r="B2091" t="s">
        <v>15</v>
      </c>
      <c r="C2091" t="s">
        <v>56</v>
      </c>
      <c r="D2091" t="s">
        <v>1675</v>
      </c>
      <c r="E2091" t="s">
        <v>1815</v>
      </c>
      <c r="F2091" t="s">
        <v>1853</v>
      </c>
      <c r="G2091" t="s">
        <v>1862</v>
      </c>
      <c r="H2091" t="s">
        <v>1864</v>
      </c>
      <c r="J2091" t="s">
        <v>1867</v>
      </c>
    </row>
    <row r="2092" spans="1:10">
      <c r="A2092" s="1">
        <f>HYPERLINK("https://cms.ls-nyc.org/matter/dynamic-profile/view/1843218","17-1843218")</f>
        <v>0</v>
      </c>
      <c r="B2092" t="s">
        <v>10</v>
      </c>
      <c r="C2092" t="s">
        <v>17</v>
      </c>
      <c r="D2092" t="s">
        <v>1676</v>
      </c>
      <c r="E2092" t="s">
        <v>1815</v>
      </c>
      <c r="F2092" t="s">
        <v>1853</v>
      </c>
      <c r="G2092" t="s">
        <v>1862</v>
      </c>
      <c r="H2092" t="s">
        <v>1863</v>
      </c>
      <c r="J2092" t="s">
        <v>1867</v>
      </c>
    </row>
    <row r="2093" spans="1:10">
      <c r="A2093" s="1">
        <f>HYPERLINK("https://cms.ls-nyc.org/matter/dynamic-profile/view/1843235","17-1843235")</f>
        <v>0</v>
      </c>
      <c r="B2093" t="s">
        <v>10</v>
      </c>
      <c r="C2093" t="s">
        <v>16</v>
      </c>
      <c r="D2093" t="s">
        <v>1677</v>
      </c>
      <c r="E2093" t="s">
        <v>1815</v>
      </c>
      <c r="F2093" t="s">
        <v>1853</v>
      </c>
      <c r="G2093" t="s">
        <v>1862</v>
      </c>
      <c r="J2093" t="s">
        <v>1867</v>
      </c>
    </row>
    <row r="2094" spans="1:10">
      <c r="A2094" s="1">
        <f>HYPERLINK("https://cms.ls-nyc.org/matter/dynamic-profile/view/1843109","17-1843109")</f>
        <v>0</v>
      </c>
      <c r="B2094" t="s">
        <v>12</v>
      </c>
      <c r="C2094" t="s">
        <v>20</v>
      </c>
      <c r="D2094" t="s">
        <v>1678</v>
      </c>
      <c r="E2094" t="s">
        <v>1809</v>
      </c>
      <c r="F2094" t="s">
        <v>1855</v>
      </c>
      <c r="G2094" t="s">
        <v>1862</v>
      </c>
      <c r="H2094" t="s">
        <v>1863</v>
      </c>
      <c r="J2094" t="s">
        <v>1871</v>
      </c>
    </row>
    <row r="2095" spans="1:10">
      <c r="A2095" s="1">
        <f>HYPERLINK("https://cms.ls-nyc.org/matter/dynamic-profile/view/1843141","17-1843141")</f>
        <v>0</v>
      </c>
      <c r="B2095" t="s">
        <v>10</v>
      </c>
      <c r="C2095" t="s">
        <v>30</v>
      </c>
      <c r="D2095" t="s">
        <v>1679</v>
      </c>
      <c r="E2095" t="s">
        <v>1815</v>
      </c>
      <c r="F2095" t="s">
        <v>1856</v>
      </c>
      <c r="G2095" t="s">
        <v>1862</v>
      </c>
      <c r="J2095" t="s">
        <v>1866</v>
      </c>
    </row>
    <row r="2096" spans="1:10">
      <c r="A2096" s="1">
        <f>HYPERLINK("https://cms.ls-nyc.org/matter/dynamic-profile/view/1843038","17-1843038")</f>
        <v>0</v>
      </c>
      <c r="B2096" t="s">
        <v>10</v>
      </c>
      <c r="C2096" t="s">
        <v>17</v>
      </c>
      <c r="D2096" t="s">
        <v>1680</v>
      </c>
      <c r="E2096" t="s">
        <v>1815</v>
      </c>
      <c r="F2096" t="s">
        <v>1856</v>
      </c>
      <c r="G2096" t="s">
        <v>1862</v>
      </c>
      <c r="J2096" t="s">
        <v>1866</v>
      </c>
    </row>
    <row r="2097" spans="1:10">
      <c r="A2097" s="1">
        <f>HYPERLINK("https://cms.ls-nyc.org/matter/dynamic-profile/view/1842737","17-1842737")</f>
        <v>0</v>
      </c>
      <c r="B2097" t="s">
        <v>10</v>
      </c>
      <c r="C2097" t="s">
        <v>16</v>
      </c>
      <c r="D2097" t="s">
        <v>1347</v>
      </c>
      <c r="E2097" t="s">
        <v>1815</v>
      </c>
      <c r="F2097" t="s">
        <v>1853</v>
      </c>
      <c r="G2097" t="s">
        <v>1862</v>
      </c>
      <c r="H2097" t="s">
        <v>1863</v>
      </c>
      <c r="J2097" t="s">
        <v>1867</v>
      </c>
    </row>
    <row r="2098" spans="1:10">
      <c r="A2098" s="1">
        <f>HYPERLINK("https://cms.ls-nyc.org/matter/dynamic-profile/view/1842744","17-1842744")</f>
        <v>0</v>
      </c>
      <c r="B2098" t="s">
        <v>10</v>
      </c>
      <c r="C2098" t="s">
        <v>16</v>
      </c>
      <c r="D2098" t="s">
        <v>1346</v>
      </c>
      <c r="E2098" t="s">
        <v>1815</v>
      </c>
      <c r="F2098" t="s">
        <v>1853</v>
      </c>
      <c r="G2098" t="s">
        <v>1862</v>
      </c>
      <c r="H2098" t="s">
        <v>1863</v>
      </c>
      <c r="J2098" t="s">
        <v>1867</v>
      </c>
    </row>
    <row r="2099" spans="1:10">
      <c r="A2099" s="1">
        <f>HYPERLINK("https://cms.ls-nyc.org/matter/dynamic-profile/view/1842579","17-1842579")</f>
        <v>0</v>
      </c>
      <c r="B2099" t="s">
        <v>10</v>
      </c>
      <c r="C2099" t="s">
        <v>17</v>
      </c>
      <c r="D2099" t="s">
        <v>177</v>
      </c>
      <c r="E2099" t="s">
        <v>1815</v>
      </c>
      <c r="F2099" t="s">
        <v>1853</v>
      </c>
      <c r="G2099" t="s">
        <v>1862</v>
      </c>
      <c r="H2099" t="s">
        <v>1863</v>
      </c>
      <c r="J2099" t="s">
        <v>1867</v>
      </c>
    </row>
    <row r="2100" spans="1:10">
      <c r="A2100" s="1">
        <f>HYPERLINK("https://cms.ls-nyc.org/matter/dynamic-profile/view/1842600","17-1842600")</f>
        <v>0</v>
      </c>
      <c r="B2100" t="s">
        <v>13</v>
      </c>
      <c r="C2100" t="s">
        <v>29</v>
      </c>
      <c r="D2100" t="s">
        <v>1681</v>
      </c>
      <c r="E2100" t="s">
        <v>1807</v>
      </c>
      <c r="F2100" t="s">
        <v>1853</v>
      </c>
      <c r="G2100" t="s">
        <v>1862</v>
      </c>
      <c r="H2100" t="s">
        <v>1863</v>
      </c>
      <c r="J2100" t="s">
        <v>1869</v>
      </c>
    </row>
    <row r="2101" spans="1:10">
      <c r="A2101" s="1">
        <f>HYPERLINK("https://cms.ls-nyc.org/matter/dynamic-profile/view/1842631","17-1842631")</f>
        <v>0</v>
      </c>
      <c r="B2101" t="s">
        <v>11</v>
      </c>
      <c r="C2101" t="s">
        <v>41</v>
      </c>
      <c r="D2101" t="s">
        <v>1682</v>
      </c>
      <c r="E2101" t="s">
        <v>1815</v>
      </c>
      <c r="F2101" t="s">
        <v>1853</v>
      </c>
      <c r="G2101" t="s">
        <v>1862</v>
      </c>
      <c r="H2101" t="s">
        <v>1864</v>
      </c>
      <c r="J2101" t="s">
        <v>1867</v>
      </c>
    </row>
    <row r="2102" spans="1:10">
      <c r="A2102" s="1">
        <f>HYPERLINK("https://cms.ls-nyc.org/matter/dynamic-profile/view/1842643","17-1842643")</f>
        <v>0</v>
      </c>
      <c r="B2102" t="s">
        <v>12</v>
      </c>
      <c r="C2102" t="s">
        <v>20</v>
      </c>
      <c r="D2102" t="s">
        <v>1683</v>
      </c>
      <c r="E2102" t="s">
        <v>1809</v>
      </c>
      <c r="F2102" t="s">
        <v>1855</v>
      </c>
      <c r="G2102" t="s">
        <v>1862</v>
      </c>
      <c r="H2102" t="s">
        <v>1863</v>
      </c>
      <c r="J2102" t="s">
        <v>1871</v>
      </c>
    </row>
    <row r="2103" spans="1:10">
      <c r="A2103" s="1">
        <f>HYPERLINK("https://cms.ls-nyc.org/matter/dynamic-profile/view/1842407","17-1842407")</f>
        <v>0</v>
      </c>
      <c r="B2103" t="s">
        <v>15</v>
      </c>
      <c r="C2103" t="s">
        <v>59</v>
      </c>
      <c r="D2103" t="s">
        <v>1684</v>
      </c>
      <c r="E2103" t="s">
        <v>1800</v>
      </c>
      <c r="F2103" t="s">
        <v>1858</v>
      </c>
      <c r="G2103" t="s">
        <v>1862</v>
      </c>
      <c r="H2103" t="s">
        <v>1864</v>
      </c>
      <c r="J2103" t="s">
        <v>1868</v>
      </c>
    </row>
    <row r="2104" spans="1:10">
      <c r="A2104" s="1">
        <f>HYPERLINK("https://cms.ls-nyc.org/matter/dynamic-profile/view/1856260","17-1856260")</f>
        <v>0</v>
      </c>
      <c r="B2104" t="s">
        <v>12</v>
      </c>
      <c r="C2104" t="s">
        <v>20</v>
      </c>
      <c r="D2104" t="s">
        <v>1685</v>
      </c>
      <c r="E2104" t="s">
        <v>1809</v>
      </c>
      <c r="F2104" t="s">
        <v>1855</v>
      </c>
      <c r="G2104" t="s">
        <v>1862</v>
      </c>
      <c r="H2104" t="s">
        <v>1863</v>
      </c>
      <c r="J2104" t="s">
        <v>1871</v>
      </c>
    </row>
    <row r="2105" spans="1:10">
      <c r="A2105" s="1">
        <f>HYPERLINK("https://cms.ls-nyc.org/matter/dynamic-profile/view/1842101","17-1842101")</f>
        <v>0</v>
      </c>
      <c r="B2105" t="s">
        <v>12</v>
      </c>
      <c r="C2105" t="s">
        <v>21</v>
      </c>
      <c r="D2105" t="s">
        <v>1686</v>
      </c>
      <c r="E2105" t="s">
        <v>1807</v>
      </c>
      <c r="F2105" t="s">
        <v>1853</v>
      </c>
      <c r="G2105" t="s">
        <v>1862</v>
      </c>
      <c r="H2105" t="s">
        <v>1863</v>
      </c>
      <c r="J2105" t="s">
        <v>1869</v>
      </c>
    </row>
    <row r="2106" spans="1:10">
      <c r="A2106" s="1">
        <f>HYPERLINK("https://cms.ls-nyc.org/matter/dynamic-profile/view/1841776","17-1841776")</f>
        <v>0</v>
      </c>
      <c r="B2106" t="s">
        <v>11</v>
      </c>
      <c r="C2106" t="s">
        <v>38</v>
      </c>
      <c r="D2106" t="s">
        <v>1687</v>
      </c>
      <c r="E2106" t="s">
        <v>1815</v>
      </c>
      <c r="F2106" t="s">
        <v>1853</v>
      </c>
      <c r="G2106" t="s">
        <v>1862</v>
      </c>
      <c r="H2106" t="s">
        <v>1864</v>
      </c>
      <c r="J2106" t="s">
        <v>1867</v>
      </c>
    </row>
    <row r="2107" spans="1:10">
      <c r="A2107" s="1">
        <f>HYPERLINK("https://cms.ls-nyc.org/matter/dynamic-profile/view/1841894","17-1841894")</f>
        <v>0</v>
      </c>
      <c r="B2107" t="s">
        <v>13</v>
      </c>
      <c r="C2107" t="s">
        <v>24</v>
      </c>
      <c r="D2107" t="s">
        <v>1688</v>
      </c>
      <c r="E2107" t="s">
        <v>1827</v>
      </c>
      <c r="F2107" t="s">
        <v>1853</v>
      </c>
      <c r="G2107" t="s">
        <v>1862</v>
      </c>
      <c r="J2107" t="s">
        <v>1869</v>
      </c>
    </row>
    <row r="2108" spans="1:10">
      <c r="A2108" s="1">
        <f>HYPERLINK("https://cms.ls-nyc.org/matter/dynamic-profile/view/1839732","17-1839732")</f>
        <v>0</v>
      </c>
      <c r="B2108" t="s">
        <v>14</v>
      </c>
      <c r="C2108" t="s">
        <v>26</v>
      </c>
      <c r="D2108" t="s">
        <v>1689</v>
      </c>
      <c r="E2108" t="s">
        <v>1815</v>
      </c>
      <c r="F2108" t="s">
        <v>1859</v>
      </c>
      <c r="G2108" t="s">
        <v>1862</v>
      </c>
      <c r="J2108" t="s">
        <v>1868</v>
      </c>
    </row>
    <row r="2109" spans="1:10">
      <c r="A2109" s="1">
        <f>HYPERLINK("https://cms.ls-nyc.org/matter/dynamic-profile/view/1841309","17-1841309")</f>
        <v>0</v>
      </c>
      <c r="B2109" t="s">
        <v>11</v>
      </c>
      <c r="C2109" t="s">
        <v>41</v>
      </c>
      <c r="D2109" t="s">
        <v>1690</v>
      </c>
      <c r="E2109" t="s">
        <v>1815</v>
      </c>
      <c r="F2109" t="s">
        <v>1853</v>
      </c>
      <c r="G2109" t="s">
        <v>1862</v>
      </c>
      <c r="H2109" t="s">
        <v>1863</v>
      </c>
      <c r="J2109" t="s">
        <v>1869</v>
      </c>
    </row>
    <row r="2110" spans="1:10">
      <c r="A2110" s="1">
        <f>HYPERLINK("https://cms.ls-nyc.org/matter/dynamic-profile/view/1840842","17-1840842")</f>
        <v>0</v>
      </c>
      <c r="B2110" t="s">
        <v>11</v>
      </c>
      <c r="C2110" t="s">
        <v>38</v>
      </c>
      <c r="D2110" t="s">
        <v>1317</v>
      </c>
      <c r="E2110" t="s">
        <v>1815</v>
      </c>
      <c r="F2110" t="s">
        <v>1853</v>
      </c>
      <c r="G2110" t="s">
        <v>1862</v>
      </c>
      <c r="H2110" t="s">
        <v>1864</v>
      </c>
      <c r="J2110" t="s">
        <v>1867</v>
      </c>
    </row>
    <row r="2111" spans="1:10">
      <c r="A2111" s="1">
        <f>HYPERLINK("https://cms.ls-nyc.org/matter/dynamic-profile/view/1840689","17-1840689")</f>
        <v>0</v>
      </c>
      <c r="B2111" t="s">
        <v>11</v>
      </c>
      <c r="C2111" t="s">
        <v>41</v>
      </c>
      <c r="D2111" t="s">
        <v>1691</v>
      </c>
      <c r="E2111" t="s">
        <v>1815</v>
      </c>
      <c r="F2111" t="s">
        <v>1853</v>
      </c>
      <c r="G2111" t="s">
        <v>1862</v>
      </c>
      <c r="H2111" t="s">
        <v>1864</v>
      </c>
      <c r="J2111" t="s">
        <v>1867</v>
      </c>
    </row>
    <row r="2112" spans="1:10">
      <c r="A2112" s="1">
        <f>HYPERLINK("https://cms.ls-nyc.org/matter/dynamic-profile/view/1839168","17-1839168")</f>
        <v>0</v>
      </c>
      <c r="B2112" t="s">
        <v>13</v>
      </c>
      <c r="C2112" t="s">
        <v>24</v>
      </c>
      <c r="D2112" t="s">
        <v>1692</v>
      </c>
      <c r="E2112" t="s">
        <v>1810</v>
      </c>
      <c r="F2112" t="s">
        <v>1853</v>
      </c>
      <c r="G2112" t="s">
        <v>1862</v>
      </c>
      <c r="H2112" t="s">
        <v>1863</v>
      </c>
      <c r="J2112" t="s">
        <v>1869</v>
      </c>
    </row>
    <row r="2113" spans="1:10">
      <c r="A2113" s="1">
        <f>HYPERLINK("https://cms.ls-nyc.org/matter/dynamic-profile/view/1840248","17-1840248")</f>
        <v>0</v>
      </c>
      <c r="B2113" t="s">
        <v>10</v>
      </c>
      <c r="C2113" t="s">
        <v>16</v>
      </c>
      <c r="D2113" t="s">
        <v>1693</v>
      </c>
      <c r="E2113" t="s">
        <v>1815</v>
      </c>
      <c r="F2113" t="s">
        <v>1858</v>
      </c>
      <c r="G2113" t="s">
        <v>1862</v>
      </c>
      <c r="J2113" t="s">
        <v>1868</v>
      </c>
    </row>
    <row r="2114" spans="1:10">
      <c r="A2114" s="1">
        <f>HYPERLINK("https://cms.ls-nyc.org/matter/dynamic-profile/view/1840274","17-1840274")</f>
        <v>0</v>
      </c>
      <c r="B2114" t="s">
        <v>10</v>
      </c>
      <c r="C2114" t="s">
        <v>16</v>
      </c>
      <c r="D2114" t="s">
        <v>1694</v>
      </c>
      <c r="E2114" t="s">
        <v>1815</v>
      </c>
      <c r="F2114" t="s">
        <v>1853</v>
      </c>
      <c r="G2114" t="s">
        <v>1862</v>
      </c>
      <c r="H2114" t="s">
        <v>1863</v>
      </c>
      <c r="J2114" t="s">
        <v>1867</v>
      </c>
    </row>
    <row r="2115" spans="1:10">
      <c r="A2115" s="1">
        <f>HYPERLINK("https://cms.ls-nyc.org/matter/dynamic-profile/view/1839963","17-1839963")</f>
        <v>0</v>
      </c>
      <c r="B2115" t="s">
        <v>10</v>
      </c>
      <c r="C2115" t="s">
        <v>16</v>
      </c>
      <c r="D2115" t="s">
        <v>1695</v>
      </c>
      <c r="E2115" t="s">
        <v>1815</v>
      </c>
      <c r="F2115" t="s">
        <v>1853</v>
      </c>
      <c r="G2115" t="s">
        <v>1862</v>
      </c>
      <c r="H2115" t="s">
        <v>1863</v>
      </c>
      <c r="J2115" t="s">
        <v>1867</v>
      </c>
    </row>
    <row r="2116" spans="1:10">
      <c r="A2116" s="1">
        <f>HYPERLINK("https://cms.ls-nyc.org/matter/dynamic-profile/view/1839996","17-1839996")</f>
        <v>0</v>
      </c>
      <c r="B2116" t="s">
        <v>15</v>
      </c>
      <c r="C2116" t="s">
        <v>47</v>
      </c>
      <c r="D2116" t="s">
        <v>1696</v>
      </c>
      <c r="E2116" t="s">
        <v>1810</v>
      </c>
      <c r="F2116" t="s">
        <v>1853</v>
      </c>
      <c r="G2116" t="s">
        <v>1862</v>
      </c>
      <c r="H2116" t="s">
        <v>1863</v>
      </c>
      <c r="J2116" t="s">
        <v>1869</v>
      </c>
    </row>
    <row r="2117" spans="1:10">
      <c r="A2117" s="1">
        <f>HYPERLINK("https://cms.ls-nyc.org/matter/dynamic-profile/view/1840039","17-1840039")</f>
        <v>0</v>
      </c>
      <c r="B2117" t="s">
        <v>10</v>
      </c>
      <c r="C2117" t="s">
        <v>17</v>
      </c>
      <c r="D2117" t="s">
        <v>673</v>
      </c>
      <c r="E2117" t="s">
        <v>1815</v>
      </c>
      <c r="F2117" t="s">
        <v>1853</v>
      </c>
      <c r="G2117" t="s">
        <v>1862</v>
      </c>
      <c r="H2117" t="s">
        <v>1863</v>
      </c>
      <c r="J2117" t="s">
        <v>1867</v>
      </c>
    </row>
    <row r="2118" spans="1:10">
      <c r="A2118" s="1">
        <f>HYPERLINK("https://cms.ls-nyc.org/matter/dynamic-profile/view/1839894","17-1839894")</f>
        <v>0</v>
      </c>
      <c r="B2118" t="s">
        <v>11</v>
      </c>
      <c r="C2118" t="s">
        <v>32</v>
      </c>
      <c r="D2118" t="s">
        <v>1150</v>
      </c>
      <c r="E2118" t="s">
        <v>1804</v>
      </c>
      <c r="G2118" t="s">
        <v>1862</v>
      </c>
      <c r="J2118" t="s">
        <v>1867</v>
      </c>
    </row>
    <row r="2119" spans="1:10">
      <c r="A2119" s="1">
        <f>HYPERLINK("https://cms.ls-nyc.org/matter/dynamic-profile/view/1835248","17-1835248")</f>
        <v>0</v>
      </c>
      <c r="B2119" t="s">
        <v>15</v>
      </c>
      <c r="C2119" t="s">
        <v>59</v>
      </c>
      <c r="D2119" t="s">
        <v>1697</v>
      </c>
      <c r="E2119" t="s">
        <v>1816</v>
      </c>
      <c r="F2119" t="s">
        <v>1859</v>
      </c>
      <c r="G2119" t="s">
        <v>1862</v>
      </c>
      <c r="H2119" t="s">
        <v>1864</v>
      </c>
      <c r="J2119" t="s">
        <v>1868</v>
      </c>
    </row>
    <row r="2120" spans="1:10">
      <c r="A2120" s="1">
        <f>HYPERLINK("https://cms.ls-nyc.org/matter/dynamic-profile/view/1854111","17-1854111")</f>
        <v>0</v>
      </c>
      <c r="B2120" t="s">
        <v>15</v>
      </c>
      <c r="C2120" t="s">
        <v>56</v>
      </c>
      <c r="D2120" t="s">
        <v>1698</v>
      </c>
      <c r="E2120" t="s">
        <v>1802</v>
      </c>
      <c r="F2120" t="s">
        <v>1853</v>
      </c>
      <c r="G2120" t="s">
        <v>1862</v>
      </c>
      <c r="H2120" t="s">
        <v>1863</v>
      </c>
      <c r="J2120" t="s">
        <v>1869</v>
      </c>
    </row>
    <row r="2121" spans="1:10">
      <c r="A2121" s="1">
        <f>HYPERLINK("https://cms.ls-nyc.org/matter/dynamic-profile/view/1839620","17-1839620")</f>
        <v>0</v>
      </c>
      <c r="B2121" t="s">
        <v>15</v>
      </c>
      <c r="C2121" t="s">
        <v>61</v>
      </c>
      <c r="D2121" t="s">
        <v>1699</v>
      </c>
      <c r="E2121" t="s">
        <v>1829</v>
      </c>
      <c r="F2121" t="s">
        <v>1854</v>
      </c>
      <c r="G2121" t="s">
        <v>1862</v>
      </c>
      <c r="H2121" t="s">
        <v>1863</v>
      </c>
      <c r="J2121" t="s">
        <v>1867</v>
      </c>
    </row>
    <row r="2122" spans="1:10">
      <c r="A2122" s="1">
        <f>HYPERLINK("https://cms.ls-nyc.org/matter/dynamic-profile/view/1839621","17-1839621")</f>
        <v>0</v>
      </c>
      <c r="B2122" t="s">
        <v>11</v>
      </c>
      <c r="C2122" t="s">
        <v>41</v>
      </c>
      <c r="D2122" t="s">
        <v>1700</v>
      </c>
      <c r="E2122" t="s">
        <v>1815</v>
      </c>
      <c r="F2122" t="s">
        <v>1853</v>
      </c>
      <c r="G2122" t="s">
        <v>1862</v>
      </c>
      <c r="H2122" t="s">
        <v>1863</v>
      </c>
      <c r="J2122" t="s">
        <v>1867</v>
      </c>
    </row>
    <row r="2123" spans="1:10">
      <c r="A2123" s="1">
        <f>HYPERLINK("https://cms.ls-nyc.org/matter/dynamic-profile/view/1839370","17-1839370")</f>
        <v>0</v>
      </c>
      <c r="B2123" t="s">
        <v>11</v>
      </c>
      <c r="C2123" t="s">
        <v>38</v>
      </c>
      <c r="D2123" t="s">
        <v>1701</v>
      </c>
      <c r="E2123" t="s">
        <v>1823</v>
      </c>
      <c r="F2123" t="s">
        <v>1859</v>
      </c>
      <c r="G2123" t="s">
        <v>1862</v>
      </c>
      <c r="H2123" t="s">
        <v>1864</v>
      </c>
      <c r="J2123" t="s">
        <v>1868</v>
      </c>
    </row>
    <row r="2124" spans="1:10">
      <c r="A2124" s="1">
        <f>HYPERLINK("https://cms.ls-nyc.org/matter/dynamic-profile/view/1839379","17-1839379")</f>
        <v>0</v>
      </c>
      <c r="B2124" t="s">
        <v>10</v>
      </c>
      <c r="C2124" t="s">
        <v>16</v>
      </c>
      <c r="D2124" t="s">
        <v>1702</v>
      </c>
      <c r="E2124" t="s">
        <v>1815</v>
      </c>
      <c r="F2124" t="s">
        <v>1853</v>
      </c>
      <c r="G2124" t="s">
        <v>1862</v>
      </c>
      <c r="J2124" t="s">
        <v>1867</v>
      </c>
    </row>
    <row r="2125" spans="1:10">
      <c r="A2125" s="1">
        <f>HYPERLINK("https://cms.ls-nyc.org/matter/dynamic-profile/view/1839286","17-1839286")</f>
        <v>0</v>
      </c>
      <c r="B2125" t="s">
        <v>11</v>
      </c>
      <c r="C2125" t="s">
        <v>18</v>
      </c>
      <c r="D2125" t="s">
        <v>1473</v>
      </c>
      <c r="E2125" t="s">
        <v>1819</v>
      </c>
      <c r="F2125" t="s">
        <v>1853</v>
      </c>
      <c r="G2125" t="s">
        <v>1862</v>
      </c>
      <c r="H2125" t="s">
        <v>1863</v>
      </c>
      <c r="J2125" t="s">
        <v>1867</v>
      </c>
    </row>
    <row r="2126" spans="1:10">
      <c r="A2126" s="1">
        <f>HYPERLINK("https://cms.ls-nyc.org/matter/dynamic-profile/view/1839087","17-1839087")</f>
        <v>0</v>
      </c>
      <c r="B2126" t="s">
        <v>10</v>
      </c>
      <c r="C2126" t="s">
        <v>16</v>
      </c>
      <c r="D2126" t="s">
        <v>1703</v>
      </c>
      <c r="E2126" t="s">
        <v>1815</v>
      </c>
      <c r="F2126" t="s">
        <v>1858</v>
      </c>
      <c r="G2126" t="s">
        <v>1862</v>
      </c>
      <c r="J2126" t="s">
        <v>1868</v>
      </c>
    </row>
    <row r="2127" spans="1:10">
      <c r="A2127" s="1">
        <f>HYPERLINK("https://cms.ls-nyc.org/matter/dynamic-profile/view/1838842","17-1838842")</f>
        <v>0</v>
      </c>
      <c r="B2127" t="s">
        <v>11</v>
      </c>
      <c r="C2127" t="s">
        <v>41</v>
      </c>
      <c r="D2127" t="s">
        <v>1704</v>
      </c>
      <c r="E2127" t="s">
        <v>1815</v>
      </c>
      <c r="F2127" t="s">
        <v>1853</v>
      </c>
      <c r="G2127" t="s">
        <v>1862</v>
      </c>
      <c r="H2127" t="s">
        <v>1864</v>
      </c>
      <c r="J2127" t="s">
        <v>1867</v>
      </c>
    </row>
    <row r="2128" spans="1:10">
      <c r="A2128" s="1">
        <f>HYPERLINK("https://cms.ls-nyc.org/matter/dynamic-profile/view/1838858","17-1838858")</f>
        <v>0</v>
      </c>
      <c r="B2128" t="s">
        <v>10</v>
      </c>
      <c r="C2128" t="s">
        <v>16</v>
      </c>
      <c r="D2128" t="s">
        <v>1705</v>
      </c>
      <c r="E2128" t="s">
        <v>1815</v>
      </c>
      <c r="F2128" t="s">
        <v>1853</v>
      </c>
      <c r="G2128" t="s">
        <v>1862</v>
      </c>
      <c r="H2128" t="s">
        <v>1863</v>
      </c>
      <c r="J2128" t="s">
        <v>1867</v>
      </c>
    </row>
    <row r="2129" spans="1:10">
      <c r="A2129" s="1">
        <f>HYPERLINK("https://cms.ls-nyc.org/matter/dynamic-profile/view/1839089","17-1839089")</f>
        <v>0</v>
      </c>
      <c r="B2129" t="s">
        <v>13</v>
      </c>
      <c r="C2129" t="s">
        <v>29</v>
      </c>
      <c r="D2129" t="s">
        <v>838</v>
      </c>
      <c r="E2129" t="s">
        <v>1807</v>
      </c>
      <c r="F2129" t="s">
        <v>1853</v>
      </c>
      <c r="G2129" t="s">
        <v>1862</v>
      </c>
      <c r="J2129" t="s">
        <v>1869</v>
      </c>
    </row>
    <row r="2130" spans="1:10">
      <c r="A2130" s="1">
        <f>HYPERLINK("https://cms.ls-nyc.org/matter/dynamic-profile/view/1838717","17-1838717")</f>
        <v>0</v>
      </c>
      <c r="B2130" t="s">
        <v>11</v>
      </c>
      <c r="C2130" t="s">
        <v>41</v>
      </c>
      <c r="D2130" t="s">
        <v>1706</v>
      </c>
      <c r="E2130" t="s">
        <v>1815</v>
      </c>
      <c r="F2130" t="s">
        <v>1853</v>
      </c>
      <c r="G2130" t="s">
        <v>1862</v>
      </c>
      <c r="H2130" t="s">
        <v>1863</v>
      </c>
      <c r="J2130" t="s">
        <v>1867</v>
      </c>
    </row>
    <row r="2131" spans="1:10">
      <c r="A2131" s="1">
        <f>HYPERLINK("https://cms.ls-nyc.org/matter/dynamic-profile/view/1838730","17-1838730")</f>
        <v>0</v>
      </c>
      <c r="B2131" t="s">
        <v>10</v>
      </c>
      <c r="C2131" t="s">
        <v>16</v>
      </c>
      <c r="D2131" t="s">
        <v>1707</v>
      </c>
      <c r="E2131" t="s">
        <v>1815</v>
      </c>
      <c r="F2131" t="s">
        <v>1853</v>
      </c>
      <c r="G2131" t="s">
        <v>1862</v>
      </c>
      <c r="H2131" t="s">
        <v>1863</v>
      </c>
      <c r="J2131" t="s">
        <v>1867</v>
      </c>
    </row>
    <row r="2132" spans="1:10">
      <c r="A2132" s="1">
        <f>HYPERLINK("https://cms.ls-nyc.org/matter/dynamic-profile/view/1838001","17-1838001")</f>
        <v>0</v>
      </c>
      <c r="B2132" t="s">
        <v>10</v>
      </c>
      <c r="C2132" t="s">
        <v>17</v>
      </c>
      <c r="D2132" t="s">
        <v>170</v>
      </c>
      <c r="E2132" t="s">
        <v>1825</v>
      </c>
      <c r="F2132" t="s">
        <v>1853</v>
      </c>
      <c r="G2132" t="s">
        <v>1862</v>
      </c>
      <c r="H2132" t="s">
        <v>1863</v>
      </c>
      <c r="J2132" t="s">
        <v>1867</v>
      </c>
    </row>
    <row r="2133" spans="1:10">
      <c r="A2133" s="1">
        <f>HYPERLINK("https://cms.ls-nyc.org/matter/dynamic-profile/view/1833436","17-1833436")</f>
        <v>0</v>
      </c>
      <c r="B2133" t="s">
        <v>13</v>
      </c>
      <c r="C2133" t="s">
        <v>29</v>
      </c>
      <c r="D2133" t="s">
        <v>1708</v>
      </c>
      <c r="E2133" t="s">
        <v>1810</v>
      </c>
      <c r="F2133" t="s">
        <v>1853</v>
      </c>
      <c r="G2133" t="s">
        <v>1862</v>
      </c>
      <c r="J2133" t="s">
        <v>1869</v>
      </c>
    </row>
    <row r="2134" spans="1:10">
      <c r="A2134" s="1">
        <f>HYPERLINK("https://cms.ls-nyc.org/matter/dynamic-profile/view/1837882","17-1837882")</f>
        <v>0</v>
      </c>
      <c r="B2134" t="s">
        <v>11</v>
      </c>
      <c r="C2134" t="s">
        <v>41</v>
      </c>
      <c r="D2134" t="s">
        <v>1709</v>
      </c>
      <c r="E2134" t="s">
        <v>1815</v>
      </c>
      <c r="F2134" t="s">
        <v>1853</v>
      </c>
      <c r="G2134" t="s">
        <v>1862</v>
      </c>
      <c r="H2134" t="s">
        <v>1863</v>
      </c>
      <c r="J2134" t="s">
        <v>1867</v>
      </c>
    </row>
    <row r="2135" spans="1:10">
      <c r="A2135" s="1">
        <f>HYPERLINK("https://cms.ls-nyc.org/matter/dynamic-profile/view/1837898","17-1837898")</f>
        <v>0</v>
      </c>
      <c r="B2135" t="s">
        <v>15</v>
      </c>
      <c r="C2135" t="s">
        <v>59</v>
      </c>
      <c r="D2135" t="s">
        <v>1710</v>
      </c>
      <c r="E2135" t="s">
        <v>1841</v>
      </c>
      <c r="F2135" t="s">
        <v>1853</v>
      </c>
      <c r="G2135" t="s">
        <v>1862</v>
      </c>
      <c r="H2135" t="s">
        <v>1863</v>
      </c>
      <c r="J2135" t="s">
        <v>1869</v>
      </c>
    </row>
    <row r="2136" spans="1:10">
      <c r="A2136" s="1">
        <f>HYPERLINK("https://cms.ls-nyc.org/matter/dynamic-profile/view/1837744","17-1837744")</f>
        <v>0</v>
      </c>
      <c r="B2136" t="s">
        <v>15</v>
      </c>
      <c r="C2136" t="s">
        <v>35</v>
      </c>
      <c r="D2136" t="s">
        <v>1711</v>
      </c>
      <c r="E2136" t="s">
        <v>1810</v>
      </c>
      <c r="F2136" t="s">
        <v>1858</v>
      </c>
      <c r="G2136" t="s">
        <v>1862</v>
      </c>
      <c r="H2136" t="s">
        <v>1864</v>
      </c>
      <c r="J2136" t="s">
        <v>1868</v>
      </c>
    </row>
    <row r="2137" spans="1:10">
      <c r="A2137" s="1">
        <f>HYPERLINK("https://cms.ls-nyc.org/matter/dynamic-profile/view/1837667","17-1837667")</f>
        <v>0</v>
      </c>
      <c r="B2137" t="s">
        <v>12</v>
      </c>
      <c r="C2137" t="s">
        <v>20</v>
      </c>
      <c r="D2137" t="s">
        <v>1712</v>
      </c>
      <c r="E2137" t="s">
        <v>1809</v>
      </c>
      <c r="F2137" t="s">
        <v>1855</v>
      </c>
      <c r="G2137" t="s">
        <v>1862</v>
      </c>
      <c r="H2137" t="s">
        <v>1863</v>
      </c>
      <c r="J2137" t="s">
        <v>1871</v>
      </c>
    </row>
    <row r="2138" spans="1:10">
      <c r="A2138" s="1">
        <f>HYPERLINK("https://cms.ls-nyc.org/matter/dynamic-profile/view/1837504","17-1837504")</f>
        <v>0</v>
      </c>
      <c r="B2138" t="s">
        <v>15</v>
      </c>
      <c r="C2138" t="s">
        <v>56</v>
      </c>
      <c r="D2138" t="s">
        <v>1713</v>
      </c>
      <c r="E2138" t="s">
        <v>1815</v>
      </c>
      <c r="F2138" t="s">
        <v>1853</v>
      </c>
      <c r="G2138" t="s">
        <v>1862</v>
      </c>
      <c r="H2138" t="s">
        <v>1864</v>
      </c>
      <c r="J2138" t="s">
        <v>1867</v>
      </c>
    </row>
    <row r="2139" spans="1:10">
      <c r="A2139" s="1">
        <f>HYPERLINK("https://cms.ls-nyc.org/matter/dynamic-profile/view/1837539","17-1837539")</f>
        <v>0</v>
      </c>
      <c r="B2139" t="s">
        <v>12</v>
      </c>
      <c r="C2139" t="s">
        <v>21</v>
      </c>
      <c r="D2139" t="s">
        <v>1714</v>
      </c>
      <c r="E2139" t="s">
        <v>1807</v>
      </c>
      <c r="F2139" t="s">
        <v>1853</v>
      </c>
      <c r="G2139" t="s">
        <v>1862</v>
      </c>
      <c r="H2139" t="s">
        <v>1864</v>
      </c>
      <c r="J2139" t="s">
        <v>1869</v>
      </c>
    </row>
    <row r="2140" spans="1:10">
      <c r="A2140" s="1">
        <f>HYPERLINK("https://cms.ls-nyc.org/matter/dynamic-profile/view/1837391","17-1837391")</f>
        <v>0</v>
      </c>
      <c r="B2140" t="s">
        <v>10</v>
      </c>
      <c r="C2140" t="s">
        <v>16</v>
      </c>
      <c r="D2140" t="s">
        <v>1715</v>
      </c>
      <c r="E2140" t="s">
        <v>1815</v>
      </c>
      <c r="F2140" t="s">
        <v>1858</v>
      </c>
      <c r="G2140" t="s">
        <v>1862</v>
      </c>
      <c r="J2140" t="s">
        <v>1868</v>
      </c>
    </row>
    <row r="2141" spans="1:10">
      <c r="A2141" s="1">
        <f>HYPERLINK("https://cms.ls-nyc.org/matter/dynamic-profile/view/1837358","17-1837358")</f>
        <v>0</v>
      </c>
      <c r="B2141" t="s">
        <v>10</v>
      </c>
      <c r="C2141" t="s">
        <v>16</v>
      </c>
      <c r="D2141" t="s">
        <v>1716</v>
      </c>
      <c r="E2141" t="s">
        <v>1815</v>
      </c>
      <c r="F2141" t="s">
        <v>1858</v>
      </c>
      <c r="G2141" t="s">
        <v>1862</v>
      </c>
      <c r="J2141" t="s">
        <v>1868</v>
      </c>
    </row>
    <row r="2142" spans="1:10">
      <c r="A2142" s="1">
        <f>HYPERLINK("https://cms.ls-nyc.org/matter/dynamic-profile/view/0831905","17-0831905")</f>
        <v>0</v>
      </c>
      <c r="B2142" t="s">
        <v>13</v>
      </c>
      <c r="C2142" t="s">
        <v>29</v>
      </c>
      <c r="D2142" t="s">
        <v>1717</v>
      </c>
      <c r="E2142" t="s">
        <v>1827</v>
      </c>
      <c r="F2142" t="s">
        <v>1853</v>
      </c>
      <c r="G2142" t="s">
        <v>1862</v>
      </c>
      <c r="J2142" t="s">
        <v>1869</v>
      </c>
    </row>
    <row r="2143" spans="1:10">
      <c r="A2143" s="1">
        <f>HYPERLINK("https://cms.ls-nyc.org/matter/dynamic-profile/view/1837140","17-1837140")</f>
        <v>0</v>
      </c>
      <c r="B2143" t="s">
        <v>12</v>
      </c>
      <c r="C2143" t="s">
        <v>20</v>
      </c>
      <c r="D2143" t="s">
        <v>1718</v>
      </c>
      <c r="E2143" t="s">
        <v>1809</v>
      </c>
      <c r="F2143" t="s">
        <v>1855</v>
      </c>
      <c r="G2143" t="s">
        <v>1862</v>
      </c>
      <c r="H2143" t="s">
        <v>1863</v>
      </c>
      <c r="J2143" t="s">
        <v>1868</v>
      </c>
    </row>
    <row r="2144" spans="1:10">
      <c r="A2144" s="1">
        <f>HYPERLINK("https://cms.ls-nyc.org/matter/dynamic-profile/view/1837006","17-1837006")</f>
        <v>0</v>
      </c>
      <c r="B2144" t="s">
        <v>15</v>
      </c>
      <c r="C2144" t="s">
        <v>27</v>
      </c>
      <c r="D2144" t="s">
        <v>1719</v>
      </c>
      <c r="E2144" t="s">
        <v>1851</v>
      </c>
      <c r="F2144" t="s">
        <v>1853</v>
      </c>
      <c r="G2144" t="s">
        <v>1862</v>
      </c>
      <c r="H2144" t="s">
        <v>1863</v>
      </c>
      <c r="J2144" t="s">
        <v>1867</v>
      </c>
    </row>
    <row r="2145" spans="1:10">
      <c r="A2145" s="1">
        <f>HYPERLINK("https://cms.ls-nyc.org/matter/dynamic-profile/view/1836905","17-1836905")</f>
        <v>0</v>
      </c>
      <c r="B2145" t="s">
        <v>12</v>
      </c>
      <c r="C2145" t="s">
        <v>20</v>
      </c>
      <c r="D2145" t="s">
        <v>1720</v>
      </c>
      <c r="E2145" t="s">
        <v>1809</v>
      </c>
      <c r="F2145" t="s">
        <v>1855</v>
      </c>
      <c r="G2145" t="s">
        <v>1862</v>
      </c>
      <c r="H2145" t="s">
        <v>1863</v>
      </c>
      <c r="J2145" t="s">
        <v>1871</v>
      </c>
    </row>
    <row r="2146" spans="1:10">
      <c r="A2146" s="1">
        <f>HYPERLINK("https://cms.ls-nyc.org/matter/dynamic-profile/view/1836689","17-1836689")</f>
        <v>0</v>
      </c>
      <c r="B2146" t="s">
        <v>11</v>
      </c>
      <c r="C2146" t="s">
        <v>18</v>
      </c>
      <c r="D2146" t="s">
        <v>1721</v>
      </c>
      <c r="E2146" t="s">
        <v>1815</v>
      </c>
      <c r="F2146" t="s">
        <v>1853</v>
      </c>
      <c r="G2146" t="s">
        <v>1862</v>
      </c>
      <c r="H2146" t="s">
        <v>1863</v>
      </c>
      <c r="J2146" t="s">
        <v>1867</v>
      </c>
    </row>
    <row r="2147" spans="1:10">
      <c r="A2147" s="1">
        <f>HYPERLINK("https://cms.ls-nyc.org/matter/dynamic-profile/view/1836339","17-1836339")</f>
        <v>0</v>
      </c>
      <c r="B2147" t="s">
        <v>13</v>
      </c>
      <c r="C2147" t="s">
        <v>43</v>
      </c>
      <c r="D2147" t="s">
        <v>1722</v>
      </c>
      <c r="E2147" t="s">
        <v>1807</v>
      </c>
      <c r="F2147" t="s">
        <v>1853</v>
      </c>
      <c r="G2147" t="s">
        <v>1862</v>
      </c>
      <c r="J2147" t="s">
        <v>1869</v>
      </c>
    </row>
    <row r="2148" spans="1:10">
      <c r="A2148" s="1">
        <f>HYPERLINK("https://cms.ls-nyc.org/matter/dynamic-profile/view/1836313","17-1836313")</f>
        <v>0</v>
      </c>
      <c r="B2148" t="s">
        <v>10</v>
      </c>
      <c r="C2148" t="s">
        <v>16</v>
      </c>
      <c r="D2148" t="s">
        <v>1723</v>
      </c>
      <c r="E2148" t="s">
        <v>1815</v>
      </c>
      <c r="F2148" t="s">
        <v>1858</v>
      </c>
      <c r="G2148" t="s">
        <v>1862</v>
      </c>
      <c r="J2148" t="s">
        <v>1868</v>
      </c>
    </row>
    <row r="2149" spans="1:10">
      <c r="A2149" s="1">
        <f>HYPERLINK("https://cms.ls-nyc.org/matter/dynamic-profile/view/1834992","17-1834992")</f>
        <v>0</v>
      </c>
      <c r="B2149" t="s">
        <v>13</v>
      </c>
      <c r="C2149" t="s">
        <v>29</v>
      </c>
      <c r="D2149" t="s">
        <v>1724</v>
      </c>
      <c r="E2149" t="s">
        <v>1803</v>
      </c>
      <c r="F2149" t="s">
        <v>1855</v>
      </c>
      <c r="G2149" t="s">
        <v>1862</v>
      </c>
      <c r="H2149" t="s">
        <v>1863</v>
      </c>
      <c r="J2149" t="s">
        <v>1870</v>
      </c>
    </row>
    <row r="2150" spans="1:10">
      <c r="A2150" s="1">
        <f>HYPERLINK("https://cms.ls-nyc.org/matter/dynamic-profile/view/1835840","17-1835840")</f>
        <v>0</v>
      </c>
      <c r="B2150" t="s">
        <v>10</v>
      </c>
      <c r="C2150" t="s">
        <v>16</v>
      </c>
      <c r="D2150" t="s">
        <v>1725</v>
      </c>
      <c r="E2150" t="s">
        <v>1815</v>
      </c>
      <c r="F2150" t="s">
        <v>1858</v>
      </c>
      <c r="G2150" t="s">
        <v>1862</v>
      </c>
      <c r="J2150" t="s">
        <v>1868</v>
      </c>
    </row>
    <row r="2151" spans="1:10">
      <c r="A2151" s="1">
        <f>HYPERLINK("https://cms.ls-nyc.org/matter/dynamic-profile/view/1835752","17-1835752")</f>
        <v>0</v>
      </c>
      <c r="B2151" t="s">
        <v>12</v>
      </c>
      <c r="C2151" t="s">
        <v>21</v>
      </c>
      <c r="D2151" t="s">
        <v>1726</v>
      </c>
      <c r="E2151" t="s">
        <v>1807</v>
      </c>
      <c r="F2151" t="s">
        <v>1853</v>
      </c>
      <c r="G2151" t="s">
        <v>1862</v>
      </c>
      <c r="H2151" t="s">
        <v>1864</v>
      </c>
      <c r="J2151" t="s">
        <v>1869</v>
      </c>
    </row>
    <row r="2152" spans="1:10">
      <c r="A2152" s="1">
        <f>HYPERLINK("https://cms.ls-nyc.org/matter/dynamic-profile/view/1835785","17-1835785")</f>
        <v>0</v>
      </c>
      <c r="B2152" t="s">
        <v>10</v>
      </c>
      <c r="C2152" t="s">
        <v>17</v>
      </c>
      <c r="D2152" t="s">
        <v>111</v>
      </c>
      <c r="E2152" t="s">
        <v>1815</v>
      </c>
      <c r="F2152" t="s">
        <v>1853</v>
      </c>
      <c r="G2152" t="s">
        <v>1862</v>
      </c>
      <c r="H2152" t="s">
        <v>1863</v>
      </c>
      <c r="J2152" t="s">
        <v>1867</v>
      </c>
    </row>
    <row r="2153" spans="1:10">
      <c r="A2153" s="1">
        <f>HYPERLINK("https://cms.ls-nyc.org/matter/dynamic-profile/view/1835445","17-1835445")</f>
        <v>0</v>
      </c>
      <c r="B2153" t="s">
        <v>11</v>
      </c>
      <c r="C2153" t="s">
        <v>23</v>
      </c>
      <c r="D2153" t="s">
        <v>97</v>
      </c>
      <c r="E2153" t="s">
        <v>1809</v>
      </c>
      <c r="F2153" t="s">
        <v>1855</v>
      </c>
      <c r="G2153" t="s">
        <v>1862</v>
      </c>
      <c r="J2153" t="s">
        <v>1870</v>
      </c>
    </row>
    <row r="2154" spans="1:10">
      <c r="A2154" s="1">
        <f>HYPERLINK("https://cms.ls-nyc.org/matter/dynamic-profile/view/1835510","17-1835510")</f>
        <v>0</v>
      </c>
      <c r="B2154" t="s">
        <v>12</v>
      </c>
      <c r="C2154" t="s">
        <v>21</v>
      </c>
      <c r="D2154" t="s">
        <v>1727</v>
      </c>
      <c r="E2154" t="s">
        <v>1807</v>
      </c>
      <c r="F2154" t="s">
        <v>1853</v>
      </c>
      <c r="G2154" t="s">
        <v>1862</v>
      </c>
      <c r="H2154" t="s">
        <v>1864</v>
      </c>
      <c r="J2154" t="s">
        <v>1869</v>
      </c>
    </row>
    <row r="2155" spans="1:10">
      <c r="A2155" s="1">
        <f>HYPERLINK("https://cms.ls-nyc.org/matter/dynamic-profile/view/1835521","17-1835521")</f>
        <v>0</v>
      </c>
      <c r="B2155" t="s">
        <v>12</v>
      </c>
      <c r="C2155" t="s">
        <v>20</v>
      </c>
      <c r="D2155" t="s">
        <v>1212</v>
      </c>
      <c r="E2155" t="s">
        <v>1819</v>
      </c>
      <c r="F2155" t="s">
        <v>1853</v>
      </c>
      <c r="G2155" t="s">
        <v>1862</v>
      </c>
      <c r="H2155" t="s">
        <v>1863</v>
      </c>
      <c r="J2155" t="s">
        <v>1867</v>
      </c>
    </row>
    <row r="2156" spans="1:10">
      <c r="A2156" s="1">
        <f>HYPERLINK("https://cms.ls-nyc.org/matter/dynamic-profile/view/1835315","17-1835315")</f>
        <v>0</v>
      </c>
      <c r="B2156" t="s">
        <v>10</v>
      </c>
      <c r="C2156" t="s">
        <v>17</v>
      </c>
      <c r="D2156" t="s">
        <v>1728</v>
      </c>
      <c r="E2156" t="s">
        <v>1815</v>
      </c>
      <c r="F2156" t="s">
        <v>1853</v>
      </c>
      <c r="G2156" t="s">
        <v>1862</v>
      </c>
      <c r="H2156" t="s">
        <v>1863</v>
      </c>
      <c r="J2156" t="s">
        <v>1867</v>
      </c>
    </row>
    <row r="2157" spans="1:10">
      <c r="A2157" s="1">
        <f>HYPERLINK("https://cms.ls-nyc.org/matter/dynamic-profile/view/1834807","17-1834807")</f>
        <v>0</v>
      </c>
      <c r="B2157" t="s">
        <v>10</v>
      </c>
      <c r="C2157" t="s">
        <v>16</v>
      </c>
      <c r="D2157" t="s">
        <v>1357</v>
      </c>
      <c r="E2157" t="s">
        <v>1825</v>
      </c>
      <c r="F2157" t="s">
        <v>1853</v>
      </c>
      <c r="G2157" t="s">
        <v>1862</v>
      </c>
      <c r="H2157" t="s">
        <v>1863</v>
      </c>
      <c r="J2157" t="s">
        <v>1867</v>
      </c>
    </row>
    <row r="2158" spans="1:10">
      <c r="A2158" s="1">
        <f>HYPERLINK("https://cms.ls-nyc.org/matter/dynamic-profile/view/1834727","17-1834727")</f>
        <v>0</v>
      </c>
      <c r="B2158" t="s">
        <v>10</v>
      </c>
      <c r="C2158" t="s">
        <v>38</v>
      </c>
      <c r="D2158" t="s">
        <v>1729</v>
      </c>
      <c r="E2158" t="s">
        <v>1815</v>
      </c>
      <c r="F2158" t="s">
        <v>1856</v>
      </c>
      <c r="G2158" t="s">
        <v>1862</v>
      </c>
      <c r="I2158" t="s">
        <v>1865</v>
      </c>
      <c r="J2158" t="s">
        <v>1866</v>
      </c>
    </row>
    <row r="2159" spans="1:10">
      <c r="A2159" s="1">
        <f>HYPERLINK("https://cms.ls-nyc.org/matter/dynamic-profile/view/1834775","17-1834775")</f>
        <v>0</v>
      </c>
      <c r="B2159" t="s">
        <v>11</v>
      </c>
      <c r="C2159" t="s">
        <v>38</v>
      </c>
      <c r="D2159" t="s">
        <v>1730</v>
      </c>
      <c r="E2159" t="s">
        <v>1815</v>
      </c>
      <c r="F2159" t="s">
        <v>1853</v>
      </c>
      <c r="G2159" t="s">
        <v>1862</v>
      </c>
      <c r="H2159" t="s">
        <v>1864</v>
      </c>
      <c r="J2159" t="s">
        <v>1867</v>
      </c>
    </row>
    <row r="2160" spans="1:10">
      <c r="A2160" s="1">
        <f>HYPERLINK("https://cms.ls-nyc.org/matter/dynamic-profile/view/1834651","17-1834651")</f>
        <v>0</v>
      </c>
      <c r="B2160" t="s">
        <v>12</v>
      </c>
      <c r="C2160" t="s">
        <v>21</v>
      </c>
      <c r="D2160" t="s">
        <v>1731</v>
      </c>
      <c r="E2160" t="s">
        <v>1807</v>
      </c>
      <c r="F2160" t="s">
        <v>1853</v>
      </c>
      <c r="G2160" t="s">
        <v>1862</v>
      </c>
      <c r="H2160" t="s">
        <v>1864</v>
      </c>
      <c r="J2160" t="s">
        <v>1869</v>
      </c>
    </row>
    <row r="2161" spans="1:10">
      <c r="A2161" s="1">
        <f>HYPERLINK("https://cms.ls-nyc.org/matter/dynamic-profile/view/1834245","17-1834245")</f>
        <v>0</v>
      </c>
      <c r="B2161" t="s">
        <v>12</v>
      </c>
      <c r="C2161" t="s">
        <v>21</v>
      </c>
      <c r="D2161" t="s">
        <v>1732</v>
      </c>
      <c r="E2161" t="s">
        <v>1807</v>
      </c>
      <c r="F2161" t="s">
        <v>1853</v>
      </c>
      <c r="G2161" t="s">
        <v>1862</v>
      </c>
      <c r="H2161" t="s">
        <v>1864</v>
      </c>
      <c r="J2161" t="s">
        <v>1869</v>
      </c>
    </row>
    <row r="2162" spans="1:10">
      <c r="A2162" s="1">
        <f>HYPERLINK("https://cms.ls-nyc.org/matter/dynamic-profile/view/1833930","17-1833930")</f>
        <v>0</v>
      </c>
      <c r="B2162" t="s">
        <v>10</v>
      </c>
      <c r="C2162" t="s">
        <v>30</v>
      </c>
      <c r="D2162" t="s">
        <v>1733</v>
      </c>
      <c r="E2162" t="s">
        <v>1815</v>
      </c>
      <c r="F2162" t="s">
        <v>1853</v>
      </c>
      <c r="G2162" t="s">
        <v>1862</v>
      </c>
      <c r="H2162" t="s">
        <v>1863</v>
      </c>
      <c r="J2162" t="s">
        <v>1868</v>
      </c>
    </row>
    <row r="2163" spans="1:10">
      <c r="A2163" s="1">
        <f>HYPERLINK("https://cms.ls-nyc.org/matter/dynamic-profile/view/1833516","17-1833516")</f>
        <v>0</v>
      </c>
      <c r="B2163" t="s">
        <v>11</v>
      </c>
      <c r="C2163" t="s">
        <v>38</v>
      </c>
      <c r="D2163" t="s">
        <v>1734</v>
      </c>
      <c r="E2163" t="s">
        <v>1815</v>
      </c>
      <c r="F2163" t="s">
        <v>1853</v>
      </c>
      <c r="G2163" t="s">
        <v>1862</v>
      </c>
      <c r="H2163" t="s">
        <v>1863</v>
      </c>
      <c r="J2163" t="s">
        <v>1867</v>
      </c>
    </row>
    <row r="2164" spans="1:10">
      <c r="A2164" s="1">
        <f>HYPERLINK("https://cms.ls-nyc.org/matter/dynamic-profile/view/1833321","17-1833321")</f>
        <v>0</v>
      </c>
      <c r="B2164" t="s">
        <v>12</v>
      </c>
      <c r="C2164" t="s">
        <v>21</v>
      </c>
      <c r="D2164" t="s">
        <v>1735</v>
      </c>
      <c r="E2164" t="s">
        <v>1807</v>
      </c>
      <c r="F2164" t="s">
        <v>1853</v>
      </c>
      <c r="G2164" t="s">
        <v>1862</v>
      </c>
      <c r="H2164" t="s">
        <v>1864</v>
      </c>
      <c r="J2164" t="s">
        <v>1869</v>
      </c>
    </row>
    <row r="2165" spans="1:10">
      <c r="A2165" s="1">
        <f>HYPERLINK("https://cms.ls-nyc.org/matter/dynamic-profile/view/0832847","17-0832847")</f>
        <v>0</v>
      </c>
      <c r="B2165" t="s">
        <v>10</v>
      </c>
      <c r="C2165" t="s">
        <v>16</v>
      </c>
      <c r="D2165" t="s">
        <v>1348</v>
      </c>
      <c r="E2165" t="s">
        <v>1815</v>
      </c>
      <c r="F2165" t="s">
        <v>1853</v>
      </c>
      <c r="G2165" t="s">
        <v>1862</v>
      </c>
      <c r="H2165" t="s">
        <v>1863</v>
      </c>
      <c r="J2165" t="s">
        <v>1869</v>
      </c>
    </row>
    <row r="2166" spans="1:10">
      <c r="A2166" s="1">
        <f>HYPERLINK("https://cms.ls-nyc.org/matter/dynamic-profile/view/0832748","17-0832748")</f>
        <v>0</v>
      </c>
      <c r="B2166" t="s">
        <v>11</v>
      </c>
      <c r="C2166" t="s">
        <v>32</v>
      </c>
      <c r="D2166" t="s">
        <v>1736</v>
      </c>
      <c r="E2166" t="s">
        <v>1815</v>
      </c>
      <c r="F2166" t="s">
        <v>1853</v>
      </c>
      <c r="G2166" t="s">
        <v>1862</v>
      </c>
      <c r="J2166" t="s">
        <v>1867</v>
      </c>
    </row>
    <row r="2167" spans="1:10">
      <c r="A2167" s="1">
        <f>HYPERLINK("https://cms.ls-nyc.org/matter/dynamic-profile/view/0832501","17-0832501")</f>
        <v>0</v>
      </c>
      <c r="B2167" t="s">
        <v>10</v>
      </c>
      <c r="C2167" t="s">
        <v>16</v>
      </c>
      <c r="D2167" t="s">
        <v>1737</v>
      </c>
      <c r="E2167" t="s">
        <v>1815</v>
      </c>
      <c r="F2167" t="s">
        <v>1858</v>
      </c>
      <c r="G2167" t="s">
        <v>1862</v>
      </c>
      <c r="J2167" t="s">
        <v>1868</v>
      </c>
    </row>
    <row r="2168" spans="1:10">
      <c r="A2168" s="1">
        <f>HYPERLINK("https://cms.ls-nyc.org/matter/dynamic-profile/view/0831971","17-0831971")</f>
        <v>0</v>
      </c>
      <c r="B2168" t="s">
        <v>13</v>
      </c>
      <c r="C2168" t="s">
        <v>29</v>
      </c>
      <c r="D2168" t="s">
        <v>1738</v>
      </c>
      <c r="E2168" t="s">
        <v>1810</v>
      </c>
      <c r="F2168" t="s">
        <v>1853</v>
      </c>
      <c r="G2168" t="s">
        <v>1862</v>
      </c>
      <c r="J2168" t="s">
        <v>1869</v>
      </c>
    </row>
    <row r="2169" spans="1:10">
      <c r="A2169" s="1">
        <f>HYPERLINK("https://cms.ls-nyc.org/matter/dynamic-profile/view/0832294","17-0832294")</f>
        <v>0</v>
      </c>
      <c r="B2169" t="s">
        <v>11</v>
      </c>
      <c r="C2169" t="s">
        <v>60</v>
      </c>
      <c r="D2169" t="s">
        <v>1739</v>
      </c>
      <c r="E2169" t="s">
        <v>1815</v>
      </c>
      <c r="F2169" t="s">
        <v>1853</v>
      </c>
      <c r="G2169" t="s">
        <v>1862</v>
      </c>
      <c r="H2169" t="s">
        <v>1864</v>
      </c>
      <c r="I2169" t="s">
        <v>1865</v>
      </c>
      <c r="J2169" t="s">
        <v>1866</v>
      </c>
    </row>
    <row r="2170" spans="1:10">
      <c r="A2170" s="1">
        <f>HYPERLINK("https://cms.ls-nyc.org/matter/dynamic-profile/view/0830473","17-0830473")</f>
        <v>0</v>
      </c>
      <c r="B2170" t="s">
        <v>13</v>
      </c>
      <c r="C2170" t="s">
        <v>29</v>
      </c>
      <c r="D2170" t="s">
        <v>1740</v>
      </c>
      <c r="E2170" t="s">
        <v>1807</v>
      </c>
      <c r="F2170" t="s">
        <v>1853</v>
      </c>
      <c r="G2170" t="s">
        <v>1862</v>
      </c>
      <c r="H2170" t="s">
        <v>1863</v>
      </c>
      <c r="J2170" t="s">
        <v>1869</v>
      </c>
    </row>
    <row r="2171" spans="1:10">
      <c r="A2171" s="1">
        <f>HYPERLINK("https://cms.ls-nyc.org/matter/dynamic-profile/view/0831750","17-0831750")</f>
        <v>0</v>
      </c>
      <c r="B2171" t="s">
        <v>11</v>
      </c>
      <c r="C2171" t="s">
        <v>18</v>
      </c>
      <c r="D2171" t="s">
        <v>1741</v>
      </c>
      <c r="E2171" t="s">
        <v>1815</v>
      </c>
      <c r="F2171" t="s">
        <v>1853</v>
      </c>
      <c r="G2171" t="s">
        <v>1862</v>
      </c>
      <c r="H2171" t="s">
        <v>1864</v>
      </c>
      <c r="J2171" t="s">
        <v>1867</v>
      </c>
    </row>
    <row r="2172" spans="1:10">
      <c r="A2172" s="1">
        <f>HYPERLINK("https://cms.ls-nyc.org/matter/dynamic-profile/view/0831458","17-0831458")</f>
        <v>0</v>
      </c>
      <c r="B2172" t="s">
        <v>12</v>
      </c>
      <c r="C2172" t="s">
        <v>20</v>
      </c>
      <c r="D2172" t="s">
        <v>1742</v>
      </c>
      <c r="E2172" t="s">
        <v>1809</v>
      </c>
      <c r="F2172" t="s">
        <v>1855</v>
      </c>
      <c r="G2172" t="s">
        <v>1862</v>
      </c>
      <c r="H2172" t="s">
        <v>1863</v>
      </c>
      <c r="J2172" t="s">
        <v>1868</v>
      </c>
    </row>
    <row r="2173" spans="1:10">
      <c r="A2173" s="1">
        <f>HYPERLINK("https://cms.ls-nyc.org/matter/dynamic-profile/view/0830466","17-0830466")</f>
        <v>0</v>
      </c>
      <c r="B2173" t="s">
        <v>13</v>
      </c>
      <c r="C2173" t="s">
        <v>29</v>
      </c>
      <c r="D2173" t="s">
        <v>1450</v>
      </c>
      <c r="F2173" t="s">
        <v>1857</v>
      </c>
      <c r="G2173" t="s">
        <v>1862</v>
      </c>
      <c r="H2173" t="s">
        <v>1863</v>
      </c>
      <c r="J2173" t="s">
        <v>1869</v>
      </c>
    </row>
    <row r="2174" spans="1:10">
      <c r="A2174" s="1">
        <f>HYPERLINK("https://cms.ls-nyc.org/matter/dynamic-profile/view/0831317","17-0831317")</f>
        <v>0</v>
      </c>
      <c r="B2174" t="s">
        <v>10</v>
      </c>
      <c r="C2174" t="s">
        <v>16</v>
      </c>
      <c r="D2174" t="s">
        <v>1743</v>
      </c>
      <c r="E2174" t="s">
        <v>1815</v>
      </c>
      <c r="F2174" t="s">
        <v>1853</v>
      </c>
      <c r="G2174" t="s">
        <v>1862</v>
      </c>
      <c r="H2174" t="s">
        <v>1863</v>
      </c>
      <c r="J2174" t="s">
        <v>1869</v>
      </c>
    </row>
    <row r="2175" spans="1:10">
      <c r="A2175" s="1">
        <f>HYPERLINK("https://cms.ls-nyc.org/matter/dynamic-profile/view/0828965","17-0828965")</f>
        <v>0</v>
      </c>
      <c r="B2175" t="s">
        <v>13</v>
      </c>
      <c r="C2175" t="s">
        <v>29</v>
      </c>
      <c r="D2175" t="s">
        <v>1744</v>
      </c>
      <c r="E2175" t="s">
        <v>1810</v>
      </c>
      <c r="F2175" t="s">
        <v>1853</v>
      </c>
      <c r="G2175" t="s">
        <v>1862</v>
      </c>
      <c r="J2175" t="s">
        <v>1869</v>
      </c>
    </row>
    <row r="2176" spans="1:10">
      <c r="A2176" s="1">
        <f>HYPERLINK("https://cms.ls-nyc.org/matter/dynamic-profile/view/0830888","17-0830888")</f>
        <v>0</v>
      </c>
      <c r="B2176" t="s">
        <v>15</v>
      </c>
      <c r="C2176" t="s">
        <v>47</v>
      </c>
      <c r="D2176" t="s">
        <v>1060</v>
      </c>
      <c r="E2176" t="s">
        <v>1803</v>
      </c>
      <c r="F2176" t="s">
        <v>1855</v>
      </c>
      <c r="G2176" t="s">
        <v>1862</v>
      </c>
      <c r="H2176" t="s">
        <v>1863</v>
      </c>
      <c r="J2176" t="s">
        <v>1871</v>
      </c>
    </row>
    <row r="2177" spans="1:10">
      <c r="A2177" s="1">
        <f>HYPERLINK("https://cms.ls-nyc.org/matter/dynamic-profile/view/0830460","17-0830460")</f>
        <v>0</v>
      </c>
      <c r="B2177" t="s">
        <v>13</v>
      </c>
      <c r="C2177" t="s">
        <v>29</v>
      </c>
      <c r="D2177" t="s">
        <v>817</v>
      </c>
      <c r="E2177" t="s">
        <v>1802</v>
      </c>
      <c r="F2177" t="s">
        <v>1853</v>
      </c>
      <c r="G2177" t="s">
        <v>1862</v>
      </c>
      <c r="H2177" t="s">
        <v>1863</v>
      </c>
      <c r="J2177" t="s">
        <v>1869</v>
      </c>
    </row>
    <row r="2178" spans="1:10">
      <c r="A2178" s="1">
        <f>HYPERLINK("https://cms.ls-nyc.org/matter/dynamic-profile/view/0830359","17-0830359")</f>
        <v>0</v>
      </c>
      <c r="B2178" t="s">
        <v>15</v>
      </c>
      <c r="C2178" t="s">
        <v>34</v>
      </c>
      <c r="D2178" t="s">
        <v>1745</v>
      </c>
      <c r="E2178" t="s">
        <v>1803</v>
      </c>
      <c r="F2178" t="s">
        <v>1855</v>
      </c>
      <c r="G2178" t="s">
        <v>1862</v>
      </c>
      <c r="H2178" t="s">
        <v>1863</v>
      </c>
      <c r="J2178" t="s">
        <v>1871</v>
      </c>
    </row>
    <row r="2179" spans="1:10">
      <c r="A2179" s="1">
        <f>HYPERLINK("https://cms.ls-nyc.org/matter/dynamic-profile/view/0829740","17-0829740")</f>
        <v>0</v>
      </c>
      <c r="B2179" t="s">
        <v>11</v>
      </c>
      <c r="C2179" t="s">
        <v>32</v>
      </c>
      <c r="D2179" t="s">
        <v>1746</v>
      </c>
      <c r="E2179" t="s">
        <v>1815</v>
      </c>
      <c r="F2179" t="s">
        <v>1853</v>
      </c>
      <c r="G2179" t="s">
        <v>1862</v>
      </c>
      <c r="H2179" t="s">
        <v>1864</v>
      </c>
      <c r="J2179" t="s">
        <v>1869</v>
      </c>
    </row>
    <row r="2180" spans="1:10">
      <c r="A2180" s="1">
        <f>HYPERLINK("https://cms.ls-nyc.org/matter/dynamic-profile/view/0829758","17-0829758")</f>
        <v>0</v>
      </c>
      <c r="B2180" t="s">
        <v>11</v>
      </c>
      <c r="C2180" t="s">
        <v>18</v>
      </c>
      <c r="D2180" t="s">
        <v>1747</v>
      </c>
      <c r="E2180" t="s">
        <v>1815</v>
      </c>
      <c r="F2180" t="s">
        <v>1853</v>
      </c>
      <c r="G2180" t="s">
        <v>1862</v>
      </c>
      <c r="H2180" t="s">
        <v>1863</v>
      </c>
      <c r="J2180" t="s">
        <v>1867</v>
      </c>
    </row>
    <row r="2181" spans="1:10">
      <c r="A2181" s="1">
        <f>HYPERLINK("https://cms.ls-nyc.org/matter/dynamic-profile/view/0829100","17-0829100")</f>
        <v>0</v>
      </c>
      <c r="B2181" t="s">
        <v>13</v>
      </c>
      <c r="C2181" t="s">
        <v>43</v>
      </c>
      <c r="D2181" t="s">
        <v>1748</v>
      </c>
      <c r="E2181" t="s">
        <v>1809</v>
      </c>
      <c r="F2181" t="s">
        <v>1855</v>
      </c>
      <c r="G2181" t="s">
        <v>1862</v>
      </c>
      <c r="H2181" t="s">
        <v>1863</v>
      </c>
      <c r="J2181" t="s">
        <v>1870</v>
      </c>
    </row>
    <row r="2182" spans="1:10">
      <c r="A2182" s="1">
        <f>HYPERLINK("https://cms.ls-nyc.org/matter/dynamic-profile/view/0828869","17-0828869")</f>
        <v>0</v>
      </c>
      <c r="B2182" t="s">
        <v>10</v>
      </c>
      <c r="C2182" t="s">
        <v>16</v>
      </c>
      <c r="D2182" t="s">
        <v>1749</v>
      </c>
      <c r="E2182" t="s">
        <v>1800</v>
      </c>
      <c r="F2182" t="s">
        <v>1853</v>
      </c>
      <c r="G2182" t="s">
        <v>1862</v>
      </c>
      <c r="J2182" t="s">
        <v>1867</v>
      </c>
    </row>
    <row r="2183" spans="1:10">
      <c r="A2183" s="1">
        <f>HYPERLINK("https://cms.ls-nyc.org/matter/dynamic-profile/view/0828194","17-0828194")</f>
        <v>0</v>
      </c>
      <c r="B2183" t="s">
        <v>11</v>
      </c>
      <c r="C2183" t="s">
        <v>60</v>
      </c>
      <c r="D2183" t="s">
        <v>1750</v>
      </c>
      <c r="E2183" t="s">
        <v>1815</v>
      </c>
      <c r="F2183" t="s">
        <v>1853</v>
      </c>
      <c r="G2183" t="s">
        <v>1862</v>
      </c>
      <c r="H2183" t="s">
        <v>1864</v>
      </c>
      <c r="J2183" t="s">
        <v>1867</v>
      </c>
    </row>
    <row r="2184" spans="1:10">
      <c r="A2184" s="1">
        <f>HYPERLINK("https://cms.ls-nyc.org/matter/dynamic-profile/view/0827997","17-0827997")</f>
        <v>0</v>
      </c>
      <c r="B2184" t="s">
        <v>10</v>
      </c>
      <c r="C2184" t="s">
        <v>16</v>
      </c>
      <c r="D2184" t="s">
        <v>1360</v>
      </c>
      <c r="E2184" t="s">
        <v>1810</v>
      </c>
      <c r="F2184" t="s">
        <v>1853</v>
      </c>
      <c r="G2184" t="s">
        <v>1862</v>
      </c>
      <c r="H2184" t="s">
        <v>1863</v>
      </c>
      <c r="J2184" t="s">
        <v>1869</v>
      </c>
    </row>
    <row r="2185" spans="1:10">
      <c r="A2185" s="1">
        <f>HYPERLINK("https://cms.ls-nyc.org/matter/dynamic-profile/view/0827203","17-0827203")</f>
        <v>0</v>
      </c>
      <c r="B2185" t="s">
        <v>10</v>
      </c>
      <c r="C2185" t="s">
        <v>16</v>
      </c>
      <c r="D2185" t="s">
        <v>1249</v>
      </c>
      <c r="E2185" t="s">
        <v>1810</v>
      </c>
      <c r="F2185" t="s">
        <v>1853</v>
      </c>
      <c r="G2185" t="s">
        <v>1862</v>
      </c>
      <c r="H2185" t="s">
        <v>1863</v>
      </c>
      <c r="J2185" t="s">
        <v>1869</v>
      </c>
    </row>
    <row r="2186" spans="1:10">
      <c r="A2186" s="1">
        <f>HYPERLINK("https://cms.ls-nyc.org/matter/dynamic-profile/view/0826532","17-0826532")</f>
        <v>0</v>
      </c>
      <c r="B2186" t="s">
        <v>15</v>
      </c>
      <c r="C2186" t="s">
        <v>59</v>
      </c>
      <c r="D2186" t="s">
        <v>1751</v>
      </c>
      <c r="E2186" t="s">
        <v>1823</v>
      </c>
      <c r="F2186" t="s">
        <v>1853</v>
      </c>
      <c r="G2186" t="s">
        <v>1862</v>
      </c>
      <c r="H2186" t="s">
        <v>1864</v>
      </c>
      <c r="J2186" t="s">
        <v>1867</v>
      </c>
    </row>
    <row r="2187" spans="1:10">
      <c r="A2187" s="1">
        <f>HYPERLINK("https://cms.ls-nyc.org/matter/dynamic-profile/view/0826134","17-0826134")</f>
        <v>0</v>
      </c>
      <c r="B2187" t="s">
        <v>10</v>
      </c>
      <c r="C2187" t="s">
        <v>17</v>
      </c>
      <c r="D2187" t="s">
        <v>74</v>
      </c>
      <c r="E2187" t="s">
        <v>1815</v>
      </c>
      <c r="F2187" t="s">
        <v>1853</v>
      </c>
      <c r="G2187" t="s">
        <v>1862</v>
      </c>
      <c r="H2187" t="s">
        <v>1863</v>
      </c>
      <c r="J2187" t="s">
        <v>1869</v>
      </c>
    </row>
    <row r="2188" spans="1:10">
      <c r="A2188" s="1">
        <f>HYPERLINK("https://cms.ls-nyc.org/matter/dynamic-profile/view/0825972","17-0825972")</f>
        <v>0</v>
      </c>
      <c r="B2188" t="s">
        <v>14</v>
      </c>
      <c r="C2188" t="s">
        <v>28</v>
      </c>
      <c r="D2188" t="s">
        <v>396</v>
      </c>
      <c r="E2188" t="s">
        <v>1809</v>
      </c>
      <c r="F2188" t="s">
        <v>1855</v>
      </c>
      <c r="G2188" t="s">
        <v>1862</v>
      </c>
      <c r="H2188" t="s">
        <v>1863</v>
      </c>
      <c r="J2188" t="s">
        <v>1871</v>
      </c>
    </row>
    <row r="2189" spans="1:10">
      <c r="A2189" s="1">
        <f>HYPERLINK("https://cms.ls-nyc.org/matter/dynamic-profile/view/0825985","17-0825985")</f>
        <v>0</v>
      </c>
      <c r="B2189" t="s">
        <v>11</v>
      </c>
      <c r="C2189" t="s">
        <v>32</v>
      </c>
      <c r="D2189" t="s">
        <v>718</v>
      </c>
      <c r="E2189" t="s">
        <v>1819</v>
      </c>
      <c r="F2189" t="s">
        <v>1853</v>
      </c>
      <c r="G2189" t="s">
        <v>1862</v>
      </c>
      <c r="H2189" t="s">
        <v>1863</v>
      </c>
      <c r="J2189" t="s">
        <v>1867</v>
      </c>
    </row>
    <row r="2190" spans="1:10">
      <c r="A2190" s="1">
        <f>HYPERLINK("https://cms.ls-nyc.org/matter/dynamic-profile/view/0825385","17-0825385")</f>
        <v>0</v>
      </c>
      <c r="B2190" t="s">
        <v>15</v>
      </c>
      <c r="C2190" t="s">
        <v>34</v>
      </c>
      <c r="D2190" t="s">
        <v>1752</v>
      </c>
      <c r="E2190" t="s">
        <v>1800</v>
      </c>
      <c r="F2190" t="s">
        <v>1853</v>
      </c>
      <c r="G2190" t="s">
        <v>1862</v>
      </c>
      <c r="H2190" t="s">
        <v>1863</v>
      </c>
      <c r="J2190" t="s">
        <v>1867</v>
      </c>
    </row>
    <row r="2191" spans="1:10">
      <c r="A2191" s="1">
        <f>HYPERLINK("https://cms.ls-nyc.org/matter/dynamic-profile/view/0825325","17-0825325")</f>
        <v>0</v>
      </c>
      <c r="B2191" t="s">
        <v>12</v>
      </c>
      <c r="C2191" t="s">
        <v>20</v>
      </c>
      <c r="D2191" t="s">
        <v>1753</v>
      </c>
      <c r="E2191" t="s">
        <v>1803</v>
      </c>
      <c r="F2191" t="s">
        <v>1855</v>
      </c>
      <c r="G2191" t="s">
        <v>1862</v>
      </c>
      <c r="H2191" t="s">
        <v>1863</v>
      </c>
      <c r="J2191" t="s">
        <v>1871</v>
      </c>
    </row>
    <row r="2192" spans="1:10">
      <c r="A2192" s="1">
        <f>HYPERLINK("https://cms.ls-nyc.org/matter/dynamic-profile/view/0824742","17-0824742")</f>
        <v>0</v>
      </c>
      <c r="B2192" t="s">
        <v>12</v>
      </c>
      <c r="C2192" t="s">
        <v>21</v>
      </c>
      <c r="D2192" t="s">
        <v>1754</v>
      </c>
      <c r="E2192" t="s">
        <v>1807</v>
      </c>
      <c r="F2192" t="s">
        <v>1853</v>
      </c>
      <c r="G2192" t="s">
        <v>1862</v>
      </c>
      <c r="H2192" t="s">
        <v>1864</v>
      </c>
      <c r="J2192" t="s">
        <v>1869</v>
      </c>
    </row>
    <row r="2193" spans="1:10">
      <c r="A2193" s="1">
        <f>HYPERLINK("https://cms.ls-nyc.org/matter/dynamic-profile/view/0824373","17-0824373")</f>
        <v>0</v>
      </c>
      <c r="B2193" t="s">
        <v>15</v>
      </c>
      <c r="C2193" t="s">
        <v>27</v>
      </c>
      <c r="D2193" t="s">
        <v>1755</v>
      </c>
      <c r="E2193" t="s">
        <v>1802</v>
      </c>
      <c r="G2193" t="s">
        <v>1862</v>
      </c>
      <c r="J2193" t="s">
        <v>1869</v>
      </c>
    </row>
    <row r="2194" spans="1:10">
      <c r="A2194" s="1">
        <f>HYPERLINK("https://cms.ls-nyc.org/matter/dynamic-profile/view/0824374","17-0824374")</f>
        <v>0</v>
      </c>
      <c r="B2194" t="s">
        <v>15</v>
      </c>
      <c r="C2194" t="s">
        <v>27</v>
      </c>
      <c r="D2194" t="s">
        <v>1755</v>
      </c>
      <c r="E2194" t="s">
        <v>1813</v>
      </c>
      <c r="G2194" t="s">
        <v>1862</v>
      </c>
      <c r="J2194" t="s">
        <v>1870</v>
      </c>
    </row>
    <row r="2195" spans="1:10">
      <c r="A2195" s="1">
        <f>HYPERLINK("https://cms.ls-nyc.org/matter/dynamic-profile/view/0824182","17-0824182")</f>
        <v>0</v>
      </c>
      <c r="B2195" t="s">
        <v>13</v>
      </c>
      <c r="C2195" t="s">
        <v>29</v>
      </c>
      <c r="D2195" t="s">
        <v>1756</v>
      </c>
      <c r="E2195" t="s">
        <v>1807</v>
      </c>
      <c r="F2195" t="s">
        <v>1853</v>
      </c>
      <c r="G2195" t="s">
        <v>1862</v>
      </c>
      <c r="H2195" t="s">
        <v>1863</v>
      </c>
      <c r="J2195" t="s">
        <v>1869</v>
      </c>
    </row>
    <row r="2196" spans="1:10">
      <c r="A2196" s="1">
        <f>HYPERLINK("https://cms.ls-nyc.org/matter/dynamic-profile/view/0823353","16-0823353")</f>
        <v>0</v>
      </c>
      <c r="B2196" t="s">
        <v>13</v>
      </c>
      <c r="C2196" t="s">
        <v>29</v>
      </c>
      <c r="D2196" t="s">
        <v>1757</v>
      </c>
      <c r="E2196" t="s">
        <v>1803</v>
      </c>
      <c r="F2196" t="s">
        <v>1855</v>
      </c>
      <c r="G2196" t="s">
        <v>1862</v>
      </c>
      <c r="H2196" t="s">
        <v>1863</v>
      </c>
      <c r="J2196" t="s">
        <v>1870</v>
      </c>
    </row>
    <row r="2197" spans="1:10">
      <c r="A2197" s="1">
        <f>HYPERLINK("https://cms.ls-nyc.org/matter/dynamic-profile/view/0822528","16-0822528")</f>
        <v>0</v>
      </c>
      <c r="B2197" t="s">
        <v>10</v>
      </c>
      <c r="C2197" t="s">
        <v>16</v>
      </c>
      <c r="D2197" t="s">
        <v>1481</v>
      </c>
      <c r="E2197" t="s">
        <v>1810</v>
      </c>
      <c r="F2197" t="s">
        <v>1853</v>
      </c>
      <c r="G2197" t="s">
        <v>1862</v>
      </c>
      <c r="J2197" t="s">
        <v>1869</v>
      </c>
    </row>
    <row r="2198" spans="1:10">
      <c r="A2198" s="1">
        <f>HYPERLINK("https://cms.ls-nyc.org/matter/dynamic-profile/view/0822545","16-0822545")</f>
        <v>0</v>
      </c>
      <c r="B2198" t="s">
        <v>10</v>
      </c>
      <c r="C2198" t="s">
        <v>16</v>
      </c>
      <c r="D2198" t="s">
        <v>1758</v>
      </c>
      <c r="E2198" t="s">
        <v>1800</v>
      </c>
      <c r="F2198" t="s">
        <v>1853</v>
      </c>
      <c r="G2198" t="s">
        <v>1862</v>
      </c>
      <c r="J2198" t="s">
        <v>1868</v>
      </c>
    </row>
    <row r="2199" spans="1:10">
      <c r="A2199" s="1">
        <f>HYPERLINK("https://cms.ls-nyc.org/matter/dynamic-profile/view/0821375","16-0821375")</f>
        <v>0</v>
      </c>
      <c r="B2199" t="s">
        <v>13</v>
      </c>
      <c r="C2199" t="s">
        <v>29</v>
      </c>
      <c r="D2199" t="s">
        <v>1759</v>
      </c>
      <c r="E2199" t="s">
        <v>1803</v>
      </c>
      <c r="F2199" t="s">
        <v>1855</v>
      </c>
      <c r="G2199" t="s">
        <v>1862</v>
      </c>
      <c r="J2199" t="s">
        <v>1871</v>
      </c>
    </row>
    <row r="2200" spans="1:10">
      <c r="A2200" s="1">
        <f>HYPERLINK("https://cms.ls-nyc.org/matter/dynamic-profile/view/0821475","16-0821475")</f>
        <v>0</v>
      </c>
      <c r="B2200" t="s">
        <v>13</v>
      </c>
      <c r="C2200" t="s">
        <v>29</v>
      </c>
      <c r="D2200" t="s">
        <v>1760</v>
      </c>
      <c r="E2200" t="s">
        <v>1803</v>
      </c>
      <c r="F2200" t="s">
        <v>1855</v>
      </c>
      <c r="G2200" t="s">
        <v>1862</v>
      </c>
      <c r="H2200" t="s">
        <v>1863</v>
      </c>
      <c r="J2200" t="s">
        <v>1871</v>
      </c>
    </row>
    <row r="2201" spans="1:10">
      <c r="A2201" s="1">
        <f>HYPERLINK("https://cms.ls-nyc.org/matter/dynamic-profile/view/0821879","16-0821879")</f>
        <v>0</v>
      </c>
      <c r="B2201" t="s">
        <v>15</v>
      </c>
      <c r="C2201" t="s">
        <v>34</v>
      </c>
      <c r="D2201" t="s">
        <v>1761</v>
      </c>
      <c r="E2201" t="s">
        <v>1803</v>
      </c>
      <c r="F2201" t="s">
        <v>1855</v>
      </c>
      <c r="G2201" t="s">
        <v>1862</v>
      </c>
      <c r="J2201" t="s">
        <v>1870</v>
      </c>
    </row>
    <row r="2202" spans="1:10">
      <c r="A2202" s="1">
        <f>HYPERLINK("https://cms.ls-nyc.org/matter/dynamic-profile/view/0821553","16-0821553")</f>
        <v>0</v>
      </c>
      <c r="B2202" t="s">
        <v>12</v>
      </c>
      <c r="C2202" t="s">
        <v>20</v>
      </c>
      <c r="D2202" t="s">
        <v>1213</v>
      </c>
      <c r="E2202" t="s">
        <v>1814</v>
      </c>
      <c r="F2202" t="s">
        <v>1853</v>
      </c>
      <c r="G2202" t="s">
        <v>1862</v>
      </c>
      <c r="H2202" t="s">
        <v>1863</v>
      </c>
      <c r="J2202" t="s">
        <v>1869</v>
      </c>
    </row>
    <row r="2203" spans="1:10">
      <c r="A2203" s="1">
        <f>HYPERLINK("https://cms.ls-nyc.org/matter/dynamic-profile/view/0821055","16-0821055")</f>
        <v>0</v>
      </c>
      <c r="B2203" t="s">
        <v>13</v>
      </c>
      <c r="C2203" t="s">
        <v>29</v>
      </c>
      <c r="D2203" t="s">
        <v>1762</v>
      </c>
      <c r="E2203" t="s">
        <v>1807</v>
      </c>
      <c r="F2203" t="s">
        <v>1853</v>
      </c>
      <c r="G2203" t="s">
        <v>1862</v>
      </c>
      <c r="H2203" t="s">
        <v>1863</v>
      </c>
      <c r="J2203" t="s">
        <v>1869</v>
      </c>
    </row>
    <row r="2204" spans="1:10">
      <c r="A2204" s="1">
        <f>HYPERLINK("https://cms.ls-nyc.org/matter/dynamic-profile/view/0820866","16-0820866")</f>
        <v>0</v>
      </c>
      <c r="B2204" t="s">
        <v>10</v>
      </c>
      <c r="C2204" t="s">
        <v>16</v>
      </c>
      <c r="D2204" t="s">
        <v>1763</v>
      </c>
      <c r="E2204" t="s">
        <v>1815</v>
      </c>
      <c r="F2204" t="s">
        <v>1853</v>
      </c>
      <c r="G2204" t="s">
        <v>1862</v>
      </c>
      <c r="J2204" t="s">
        <v>1867</v>
      </c>
    </row>
    <row r="2205" spans="1:10">
      <c r="A2205" s="1">
        <f>HYPERLINK("https://cms.ls-nyc.org/matter/dynamic-profile/view/0787748","15-0787748")</f>
        <v>0</v>
      </c>
      <c r="B2205" t="s">
        <v>11</v>
      </c>
      <c r="C2205" t="s">
        <v>38</v>
      </c>
      <c r="D2205" t="s">
        <v>1423</v>
      </c>
      <c r="E2205" t="s">
        <v>1813</v>
      </c>
      <c r="F2205" t="s">
        <v>1853</v>
      </c>
      <c r="G2205" t="s">
        <v>1862</v>
      </c>
      <c r="J2205" t="s">
        <v>1871</v>
      </c>
    </row>
    <row r="2206" spans="1:10">
      <c r="A2206" s="1">
        <f>HYPERLINK("https://cms.ls-nyc.org/matter/dynamic-profile/view/0819697","16-0819697")</f>
        <v>0</v>
      </c>
      <c r="B2206" t="s">
        <v>13</v>
      </c>
      <c r="C2206" t="s">
        <v>29</v>
      </c>
      <c r="D2206" t="s">
        <v>1764</v>
      </c>
      <c r="E2206" t="s">
        <v>1807</v>
      </c>
      <c r="F2206" t="s">
        <v>1853</v>
      </c>
      <c r="G2206" t="s">
        <v>1862</v>
      </c>
      <c r="H2206" t="s">
        <v>1863</v>
      </c>
      <c r="J2206" t="s">
        <v>1869</v>
      </c>
    </row>
    <row r="2207" spans="1:10">
      <c r="A2207" s="1">
        <f>HYPERLINK("https://cms.ls-nyc.org/matter/dynamic-profile/view/0819491","16-0819491")</f>
        <v>0</v>
      </c>
      <c r="B2207" t="s">
        <v>12</v>
      </c>
      <c r="C2207" t="s">
        <v>21</v>
      </c>
      <c r="D2207" t="s">
        <v>1765</v>
      </c>
      <c r="E2207" t="s">
        <v>1802</v>
      </c>
      <c r="F2207" t="s">
        <v>1853</v>
      </c>
      <c r="G2207" t="s">
        <v>1862</v>
      </c>
      <c r="H2207" t="s">
        <v>1864</v>
      </c>
      <c r="J2207" t="s">
        <v>1869</v>
      </c>
    </row>
    <row r="2208" spans="1:10">
      <c r="A2208" s="1">
        <f>HYPERLINK("https://cms.ls-nyc.org/matter/dynamic-profile/view/0819558","16-0819558")</f>
        <v>0</v>
      </c>
      <c r="B2208" t="s">
        <v>12</v>
      </c>
      <c r="C2208" t="s">
        <v>21</v>
      </c>
      <c r="D2208" t="s">
        <v>1766</v>
      </c>
      <c r="E2208" t="s">
        <v>1807</v>
      </c>
      <c r="F2208" t="s">
        <v>1853</v>
      </c>
      <c r="G2208" t="s">
        <v>1862</v>
      </c>
      <c r="H2208" t="s">
        <v>1864</v>
      </c>
      <c r="J2208" t="s">
        <v>1869</v>
      </c>
    </row>
    <row r="2209" spans="1:10">
      <c r="A2209" s="1">
        <f>HYPERLINK("https://cms.ls-nyc.org/matter/dynamic-profile/view/0819585","16-0819585")</f>
        <v>0</v>
      </c>
      <c r="B2209" t="s">
        <v>12</v>
      </c>
      <c r="C2209" t="s">
        <v>21</v>
      </c>
      <c r="D2209" t="s">
        <v>1767</v>
      </c>
      <c r="E2209" t="s">
        <v>1807</v>
      </c>
      <c r="F2209" t="s">
        <v>1853</v>
      </c>
      <c r="G2209" t="s">
        <v>1862</v>
      </c>
      <c r="H2209" t="s">
        <v>1864</v>
      </c>
      <c r="J2209" t="s">
        <v>1869</v>
      </c>
    </row>
    <row r="2210" spans="1:10">
      <c r="A2210" s="1">
        <f>HYPERLINK("https://cms.ls-nyc.org/matter/dynamic-profile/view/0819602","16-0819602")</f>
        <v>0</v>
      </c>
      <c r="B2210" t="s">
        <v>12</v>
      </c>
      <c r="C2210" t="s">
        <v>21</v>
      </c>
      <c r="D2210" t="s">
        <v>1768</v>
      </c>
      <c r="E2210" t="s">
        <v>1807</v>
      </c>
      <c r="F2210" t="s">
        <v>1853</v>
      </c>
      <c r="G2210" t="s">
        <v>1862</v>
      </c>
      <c r="H2210" t="s">
        <v>1864</v>
      </c>
      <c r="J2210" t="s">
        <v>1869</v>
      </c>
    </row>
    <row r="2211" spans="1:10">
      <c r="A2211" s="1">
        <f>HYPERLINK("https://cms.ls-nyc.org/matter/dynamic-profile/view/0819254","16-0819254")</f>
        <v>0</v>
      </c>
      <c r="B2211" t="s">
        <v>15</v>
      </c>
      <c r="C2211" t="s">
        <v>35</v>
      </c>
      <c r="D2211" t="s">
        <v>1769</v>
      </c>
      <c r="E2211" t="s">
        <v>1803</v>
      </c>
      <c r="G2211" t="s">
        <v>1862</v>
      </c>
      <c r="J2211" t="s">
        <v>1871</v>
      </c>
    </row>
    <row r="2212" spans="1:10">
      <c r="A2212" s="1">
        <f>HYPERLINK("https://cms.ls-nyc.org/matter/dynamic-profile/view/0817419","16-0817419")</f>
        <v>0</v>
      </c>
      <c r="B2212" t="s">
        <v>11</v>
      </c>
      <c r="C2212" t="s">
        <v>32</v>
      </c>
      <c r="D2212" t="s">
        <v>1630</v>
      </c>
      <c r="E2212" t="s">
        <v>1809</v>
      </c>
      <c r="F2212" t="s">
        <v>1855</v>
      </c>
      <c r="G2212" t="s">
        <v>1862</v>
      </c>
      <c r="H2212" t="s">
        <v>1863</v>
      </c>
      <c r="J2212" t="s">
        <v>1871</v>
      </c>
    </row>
    <row r="2213" spans="1:10">
      <c r="A2213" s="1">
        <f>HYPERLINK("https://cms.ls-nyc.org/matter/dynamic-profile/view/0817317","16-0817317")</f>
        <v>0</v>
      </c>
      <c r="B2213" t="s">
        <v>13</v>
      </c>
      <c r="C2213" t="s">
        <v>29</v>
      </c>
      <c r="D2213" t="s">
        <v>1508</v>
      </c>
      <c r="F2213" t="s">
        <v>1857</v>
      </c>
      <c r="G2213" t="s">
        <v>1862</v>
      </c>
      <c r="H2213" t="s">
        <v>1863</v>
      </c>
      <c r="J2213" t="s">
        <v>1869</v>
      </c>
    </row>
    <row r="2214" spans="1:10">
      <c r="A2214" s="1">
        <f>HYPERLINK("https://cms.ls-nyc.org/matter/dynamic-profile/view/0816343","16-0816343")</f>
        <v>0</v>
      </c>
      <c r="B2214" t="s">
        <v>13</v>
      </c>
      <c r="C2214" t="s">
        <v>29</v>
      </c>
      <c r="D2214" t="s">
        <v>1770</v>
      </c>
      <c r="E2214" t="s">
        <v>1809</v>
      </c>
      <c r="F2214" t="s">
        <v>1855</v>
      </c>
      <c r="G2214" t="s">
        <v>1862</v>
      </c>
      <c r="J2214" t="s">
        <v>1870</v>
      </c>
    </row>
    <row r="2215" spans="1:10">
      <c r="A2215" s="1">
        <f>HYPERLINK("https://cms.ls-nyc.org/matter/dynamic-profile/view/0815289","16-0815289")</f>
        <v>0</v>
      </c>
      <c r="B2215" t="s">
        <v>15</v>
      </c>
      <c r="C2215" t="s">
        <v>34</v>
      </c>
      <c r="D2215" t="s">
        <v>1761</v>
      </c>
      <c r="E2215" t="s">
        <v>1809</v>
      </c>
      <c r="F2215" t="s">
        <v>1855</v>
      </c>
      <c r="G2215" t="s">
        <v>1862</v>
      </c>
      <c r="J2215" t="s">
        <v>1870</v>
      </c>
    </row>
    <row r="2216" spans="1:10">
      <c r="A2216" s="1">
        <f>HYPERLINK("https://cms.ls-nyc.org/matter/dynamic-profile/view/0814467","16-0814467")</f>
        <v>0</v>
      </c>
      <c r="B2216" t="s">
        <v>15</v>
      </c>
      <c r="C2216" t="s">
        <v>34</v>
      </c>
      <c r="D2216" t="s">
        <v>620</v>
      </c>
      <c r="E2216" t="s">
        <v>1809</v>
      </c>
      <c r="F2216" t="s">
        <v>1855</v>
      </c>
      <c r="G2216" t="s">
        <v>1862</v>
      </c>
      <c r="H2216" t="s">
        <v>1863</v>
      </c>
      <c r="J2216" t="s">
        <v>1871</v>
      </c>
    </row>
    <row r="2217" spans="1:10">
      <c r="A2217" s="1">
        <f>HYPERLINK("https://cms.ls-nyc.org/matter/dynamic-profile/view/0813689","16-0813689")</f>
        <v>0</v>
      </c>
      <c r="B2217" t="s">
        <v>15</v>
      </c>
      <c r="C2217" t="s">
        <v>34</v>
      </c>
      <c r="D2217" t="s">
        <v>456</v>
      </c>
      <c r="E2217" t="s">
        <v>1810</v>
      </c>
      <c r="F2217" t="s">
        <v>1853</v>
      </c>
      <c r="G2217" t="s">
        <v>1862</v>
      </c>
      <c r="H2217" t="s">
        <v>1863</v>
      </c>
      <c r="J2217" t="s">
        <v>1869</v>
      </c>
    </row>
    <row r="2218" spans="1:10">
      <c r="A2218" s="1">
        <f>HYPERLINK("https://cms.ls-nyc.org/matter/dynamic-profile/view/0813462","16-0813462")</f>
        <v>0</v>
      </c>
      <c r="B2218" t="s">
        <v>12</v>
      </c>
      <c r="C2218" t="s">
        <v>20</v>
      </c>
      <c r="D2218" t="s">
        <v>1771</v>
      </c>
      <c r="E2218" t="s">
        <v>1815</v>
      </c>
      <c r="F2218" t="s">
        <v>1859</v>
      </c>
      <c r="G2218" t="s">
        <v>1862</v>
      </c>
      <c r="H2218" t="s">
        <v>1863</v>
      </c>
      <c r="J2218" t="s">
        <v>1868</v>
      </c>
    </row>
    <row r="2219" spans="1:10">
      <c r="A2219" s="1">
        <f>HYPERLINK("https://cms.ls-nyc.org/matter/dynamic-profile/view/0811496","16-0811496")</f>
        <v>0</v>
      </c>
      <c r="B2219" t="s">
        <v>13</v>
      </c>
      <c r="C2219" t="s">
        <v>24</v>
      </c>
      <c r="D2219" t="s">
        <v>1772</v>
      </c>
      <c r="E2219" t="s">
        <v>1810</v>
      </c>
      <c r="F2219" t="s">
        <v>1853</v>
      </c>
      <c r="G2219" t="s">
        <v>1862</v>
      </c>
      <c r="H2219" t="s">
        <v>1863</v>
      </c>
      <c r="J2219" t="s">
        <v>1869</v>
      </c>
    </row>
    <row r="2220" spans="1:10">
      <c r="A2220" s="1">
        <f>HYPERLINK("https://cms.ls-nyc.org/matter/dynamic-profile/view/0812450","16-0812450")</f>
        <v>0</v>
      </c>
      <c r="B2220" t="s">
        <v>13</v>
      </c>
      <c r="C2220" t="s">
        <v>43</v>
      </c>
      <c r="D2220" t="s">
        <v>1773</v>
      </c>
      <c r="E2220" t="s">
        <v>1807</v>
      </c>
      <c r="F2220" t="s">
        <v>1853</v>
      </c>
      <c r="G2220" t="s">
        <v>1862</v>
      </c>
      <c r="H2220" t="s">
        <v>1863</v>
      </c>
      <c r="J2220" t="s">
        <v>1869</v>
      </c>
    </row>
    <row r="2221" spans="1:10">
      <c r="A2221" s="1">
        <f>HYPERLINK("https://cms.ls-nyc.org/matter/dynamic-profile/view/0810288","16-0810288")</f>
        <v>0</v>
      </c>
      <c r="B2221" t="s">
        <v>13</v>
      </c>
      <c r="C2221" t="s">
        <v>29</v>
      </c>
      <c r="D2221" t="s">
        <v>1774</v>
      </c>
      <c r="E2221" t="s">
        <v>1803</v>
      </c>
      <c r="F2221" t="s">
        <v>1855</v>
      </c>
      <c r="G2221" t="s">
        <v>1862</v>
      </c>
      <c r="H2221" t="s">
        <v>1863</v>
      </c>
      <c r="J2221" t="s">
        <v>1871</v>
      </c>
    </row>
    <row r="2222" spans="1:10">
      <c r="A2222" s="1">
        <f>HYPERLINK("https://cms.ls-nyc.org/matter/dynamic-profile/view/0809706","16-0809706")</f>
        <v>0</v>
      </c>
      <c r="B2222" t="s">
        <v>11</v>
      </c>
      <c r="C2222" t="s">
        <v>38</v>
      </c>
      <c r="D2222" t="s">
        <v>1775</v>
      </c>
      <c r="E2222" t="s">
        <v>1814</v>
      </c>
      <c r="F2222" t="s">
        <v>1853</v>
      </c>
      <c r="G2222" t="s">
        <v>1862</v>
      </c>
      <c r="H2222" t="s">
        <v>1864</v>
      </c>
      <c r="J2222" t="s">
        <v>1869</v>
      </c>
    </row>
    <row r="2223" spans="1:10">
      <c r="A2223" s="1">
        <f>HYPERLINK("https://cms.ls-nyc.org/matter/dynamic-profile/view/0808634","16-0808634")</f>
        <v>0</v>
      </c>
      <c r="B2223" t="s">
        <v>15</v>
      </c>
      <c r="C2223" t="s">
        <v>34</v>
      </c>
      <c r="D2223" t="s">
        <v>1776</v>
      </c>
      <c r="E2223" t="s">
        <v>1810</v>
      </c>
      <c r="F2223" t="s">
        <v>1853</v>
      </c>
      <c r="G2223" t="s">
        <v>1862</v>
      </c>
      <c r="H2223" t="s">
        <v>1863</v>
      </c>
      <c r="J2223" t="s">
        <v>1869</v>
      </c>
    </row>
    <row r="2224" spans="1:10">
      <c r="A2224" s="1">
        <f>HYPERLINK("https://cms.ls-nyc.org/matter/dynamic-profile/view/1846137","17-1846137")</f>
        <v>0</v>
      </c>
      <c r="B2224" t="s">
        <v>12</v>
      </c>
      <c r="C2224" t="s">
        <v>20</v>
      </c>
      <c r="D2224" t="s">
        <v>1777</v>
      </c>
      <c r="E2224" t="s">
        <v>1803</v>
      </c>
      <c r="F2224" t="s">
        <v>1855</v>
      </c>
      <c r="G2224" t="s">
        <v>1862</v>
      </c>
      <c r="H2224" t="s">
        <v>1863</v>
      </c>
      <c r="J2224" t="s">
        <v>1868</v>
      </c>
    </row>
    <row r="2225" spans="1:10">
      <c r="A2225" s="1">
        <f>HYPERLINK("https://cms.ls-nyc.org/matter/dynamic-profile/view/0806971","16-0806971")</f>
        <v>0</v>
      </c>
      <c r="B2225" t="s">
        <v>11</v>
      </c>
      <c r="C2225" t="s">
        <v>39</v>
      </c>
      <c r="D2225" t="s">
        <v>280</v>
      </c>
      <c r="E2225" t="s">
        <v>1849</v>
      </c>
      <c r="G2225" t="s">
        <v>1862</v>
      </c>
      <c r="J2225" t="s">
        <v>1866</v>
      </c>
    </row>
    <row r="2226" spans="1:10">
      <c r="A2226" s="1">
        <f>HYPERLINK("https://cms.ls-nyc.org/matter/dynamic-profile/view/0802083","16-0802083")</f>
        <v>0</v>
      </c>
      <c r="B2226" t="s">
        <v>12</v>
      </c>
      <c r="C2226" t="s">
        <v>33</v>
      </c>
      <c r="D2226" t="s">
        <v>514</v>
      </c>
      <c r="E2226" t="s">
        <v>1809</v>
      </c>
      <c r="G2226" t="s">
        <v>1862</v>
      </c>
      <c r="J2226" t="s">
        <v>1871</v>
      </c>
    </row>
    <row r="2227" spans="1:10">
      <c r="A2227" s="1">
        <f>HYPERLINK("https://cms.ls-nyc.org/matter/dynamic-profile/view/0800944","16-0800944")</f>
        <v>0</v>
      </c>
      <c r="B2227" t="s">
        <v>14</v>
      </c>
      <c r="C2227" t="s">
        <v>42</v>
      </c>
      <c r="D2227" t="s">
        <v>419</v>
      </c>
      <c r="E2227" t="s">
        <v>1809</v>
      </c>
      <c r="F2227" t="s">
        <v>1855</v>
      </c>
      <c r="G2227" t="s">
        <v>1862</v>
      </c>
      <c r="H2227" t="s">
        <v>1863</v>
      </c>
      <c r="J2227" t="s">
        <v>1869</v>
      </c>
    </row>
    <row r="2228" spans="1:10">
      <c r="A2228" s="1">
        <f>HYPERLINK("https://cms.ls-nyc.org/matter/dynamic-profile/view/0797890","16-0797890")</f>
        <v>0</v>
      </c>
      <c r="B2228" t="s">
        <v>15</v>
      </c>
      <c r="C2228" t="s">
        <v>27</v>
      </c>
      <c r="D2228" t="s">
        <v>1396</v>
      </c>
      <c r="E2228" t="s">
        <v>1803</v>
      </c>
      <c r="F2228" t="s">
        <v>1855</v>
      </c>
      <c r="G2228" t="s">
        <v>1862</v>
      </c>
      <c r="H2228" t="s">
        <v>1864</v>
      </c>
      <c r="J2228" t="s">
        <v>1870</v>
      </c>
    </row>
    <row r="2229" spans="1:10">
      <c r="A2229" s="1">
        <f>HYPERLINK("https://cms.ls-nyc.org/matter/dynamic-profile/view/0797867","16-0797867")</f>
        <v>0</v>
      </c>
      <c r="B2229" t="s">
        <v>11</v>
      </c>
      <c r="C2229" t="s">
        <v>32</v>
      </c>
      <c r="D2229" t="s">
        <v>1597</v>
      </c>
      <c r="E2229" t="s">
        <v>1803</v>
      </c>
      <c r="F2229" t="s">
        <v>1855</v>
      </c>
      <c r="G2229" t="s">
        <v>1862</v>
      </c>
      <c r="H2229" t="s">
        <v>1863</v>
      </c>
      <c r="J2229" t="s">
        <v>1871</v>
      </c>
    </row>
    <row r="2230" spans="1:10">
      <c r="A2230" s="1">
        <f>HYPERLINK("https://cms.ls-nyc.org/matter/dynamic-profile/view/0796005","16-0796005")</f>
        <v>0</v>
      </c>
      <c r="B2230" t="s">
        <v>15</v>
      </c>
      <c r="C2230" t="s">
        <v>34</v>
      </c>
      <c r="D2230" t="s">
        <v>736</v>
      </c>
      <c r="E2230" t="s">
        <v>1809</v>
      </c>
      <c r="F2230" t="s">
        <v>1855</v>
      </c>
      <c r="G2230" t="s">
        <v>1862</v>
      </c>
      <c r="H2230" t="s">
        <v>1863</v>
      </c>
      <c r="J2230" t="s">
        <v>1869</v>
      </c>
    </row>
    <row r="2231" spans="1:10">
      <c r="A2231" s="1">
        <f>HYPERLINK("https://cms.ls-nyc.org/matter/dynamic-profile/view/0793862","15-0793862")</f>
        <v>0</v>
      </c>
      <c r="B2231" t="s">
        <v>10</v>
      </c>
      <c r="C2231" t="s">
        <v>16</v>
      </c>
      <c r="D2231" t="s">
        <v>1778</v>
      </c>
      <c r="E2231" t="s">
        <v>1803</v>
      </c>
      <c r="F2231" t="s">
        <v>1855</v>
      </c>
      <c r="G2231" t="s">
        <v>1862</v>
      </c>
      <c r="J2231" t="s">
        <v>1871</v>
      </c>
    </row>
    <row r="2232" spans="1:10">
      <c r="A2232" s="1">
        <f>HYPERLINK("https://cms.ls-nyc.org/matter/dynamic-profile/view/0791292","15-0791292")</f>
        <v>0</v>
      </c>
      <c r="B2232" t="s">
        <v>14</v>
      </c>
      <c r="C2232" t="s">
        <v>26</v>
      </c>
      <c r="D2232" t="s">
        <v>1779</v>
      </c>
      <c r="E2232" t="s">
        <v>1810</v>
      </c>
      <c r="F2232" t="s">
        <v>1859</v>
      </c>
      <c r="G2232" t="s">
        <v>1862</v>
      </c>
      <c r="H2232" t="s">
        <v>1864</v>
      </c>
      <c r="J2232" t="s">
        <v>1868</v>
      </c>
    </row>
    <row r="2233" spans="1:10">
      <c r="A2233" s="1">
        <f>HYPERLINK("https://cms.ls-nyc.org/matter/dynamic-profile/view/0790424","15-0790424")</f>
        <v>0</v>
      </c>
      <c r="B2233" t="s">
        <v>13</v>
      </c>
      <c r="C2233" t="s">
        <v>24</v>
      </c>
      <c r="D2233" t="s">
        <v>1780</v>
      </c>
      <c r="E2233" t="s">
        <v>1821</v>
      </c>
      <c r="F2233" t="s">
        <v>1853</v>
      </c>
      <c r="G2233" t="s">
        <v>1862</v>
      </c>
      <c r="H2233" t="s">
        <v>1863</v>
      </c>
      <c r="J2233" t="s">
        <v>1867</v>
      </c>
    </row>
    <row r="2234" spans="1:10">
      <c r="A2234" s="1">
        <f>HYPERLINK("https://cms.ls-nyc.org/matter/dynamic-profile/view/0785039","15-0785039")</f>
        <v>0</v>
      </c>
      <c r="B2234" t="s">
        <v>14</v>
      </c>
      <c r="C2234" t="s">
        <v>42</v>
      </c>
      <c r="D2234" t="s">
        <v>1781</v>
      </c>
      <c r="E2234" t="s">
        <v>1810</v>
      </c>
      <c r="F2234" t="s">
        <v>1853</v>
      </c>
      <c r="G2234" t="s">
        <v>1862</v>
      </c>
      <c r="H2234" t="s">
        <v>1863</v>
      </c>
      <c r="J2234" t="s">
        <v>1869</v>
      </c>
    </row>
    <row r="2235" spans="1:10">
      <c r="A2235" s="1">
        <f>HYPERLINK("https://cms.ls-nyc.org/matter/dynamic-profile/view/0787488","15-0787488")</f>
        <v>0</v>
      </c>
      <c r="B2235" t="s">
        <v>14</v>
      </c>
      <c r="C2235" t="s">
        <v>42</v>
      </c>
      <c r="D2235" t="s">
        <v>1782</v>
      </c>
      <c r="E2235" t="s">
        <v>1810</v>
      </c>
      <c r="F2235" t="s">
        <v>1855</v>
      </c>
      <c r="G2235" t="s">
        <v>1862</v>
      </c>
      <c r="J2235" t="s">
        <v>1869</v>
      </c>
    </row>
    <row r="2236" spans="1:10">
      <c r="A2236" s="1">
        <f>HYPERLINK("https://cms.ls-nyc.org/matter/dynamic-profile/view/0784380","15-0784380")</f>
        <v>0</v>
      </c>
      <c r="B2236" t="s">
        <v>14</v>
      </c>
      <c r="C2236" t="s">
        <v>42</v>
      </c>
      <c r="D2236" t="s">
        <v>1783</v>
      </c>
      <c r="E2236" t="s">
        <v>1816</v>
      </c>
      <c r="F2236" t="s">
        <v>1855</v>
      </c>
      <c r="G2236" t="s">
        <v>1862</v>
      </c>
      <c r="H2236" t="s">
        <v>1864</v>
      </c>
      <c r="J2236" t="s">
        <v>1869</v>
      </c>
    </row>
    <row r="2237" spans="1:10">
      <c r="A2237" s="1">
        <f>HYPERLINK("https://cms.ls-nyc.org/matter/dynamic-profile/view/0777702","15-0777702")</f>
        <v>0</v>
      </c>
      <c r="B2237" t="s">
        <v>12</v>
      </c>
      <c r="C2237" t="s">
        <v>33</v>
      </c>
      <c r="D2237" t="s">
        <v>524</v>
      </c>
      <c r="E2237" t="s">
        <v>1807</v>
      </c>
      <c r="F2237" t="s">
        <v>1853</v>
      </c>
      <c r="G2237" t="s">
        <v>1862</v>
      </c>
      <c r="J2237" t="s">
        <v>1869</v>
      </c>
    </row>
    <row r="2238" spans="1:10">
      <c r="A2238" s="1">
        <f>HYPERLINK("https://cms.ls-nyc.org/matter/dynamic-profile/view/0781442","15-0781442")</f>
        <v>0</v>
      </c>
      <c r="B2238" t="s">
        <v>14</v>
      </c>
      <c r="C2238" t="s">
        <v>42</v>
      </c>
      <c r="D2238" t="s">
        <v>1784</v>
      </c>
      <c r="E2238" t="s">
        <v>1816</v>
      </c>
      <c r="F2238" t="s">
        <v>1853</v>
      </c>
      <c r="G2238" t="s">
        <v>1862</v>
      </c>
      <c r="H2238" t="s">
        <v>1863</v>
      </c>
      <c r="J2238" t="s">
        <v>1867</v>
      </c>
    </row>
    <row r="2239" spans="1:10">
      <c r="A2239" s="1">
        <f>HYPERLINK("https://cms.ls-nyc.org/matter/dynamic-profile/view/0781443","15-0781443")</f>
        <v>0</v>
      </c>
      <c r="B2239" t="s">
        <v>15</v>
      </c>
      <c r="C2239" t="s">
        <v>34</v>
      </c>
      <c r="D2239" t="s">
        <v>481</v>
      </c>
      <c r="E2239" t="s">
        <v>1813</v>
      </c>
      <c r="F2239" t="s">
        <v>1855</v>
      </c>
      <c r="G2239" t="s">
        <v>1862</v>
      </c>
      <c r="H2239" t="s">
        <v>1864</v>
      </c>
      <c r="J2239" t="s">
        <v>1871</v>
      </c>
    </row>
    <row r="2240" spans="1:10">
      <c r="A2240" s="1">
        <f>HYPERLINK("https://cms.ls-nyc.org/matter/dynamic-profile/view/0780337","15-0780337")</f>
        <v>0</v>
      </c>
      <c r="B2240" t="s">
        <v>15</v>
      </c>
      <c r="C2240" t="s">
        <v>56</v>
      </c>
      <c r="D2240" t="s">
        <v>1785</v>
      </c>
      <c r="E2240" t="s">
        <v>1816</v>
      </c>
      <c r="F2240" t="s">
        <v>1853</v>
      </c>
      <c r="G2240" t="s">
        <v>1862</v>
      </c>
      <c r="H2240" t="s">
        <v>1863</v>
      </c>
      <c r="J2240" t="s">
        <v>1867</v>
      </c>
    </row>
    <row r="2241" spans="1:10">
      <c r="A2241" s="1">
        <f>HYPERLINK("https://cms.ls-nyc.org/matter/dynamic-profile/view/0780000","15-0780000")</f>
        <v>0</v>
      </c>
      <c r="B2241" t="s">
        <v>13</v>
      </c>
      <c r="C2241" t="s">
        <v>24</v>
      </c>
      <c r="D2241" t="s">
        <v>1786</v>
      </c>
      <c r="E2241" t="s">
        <v>1810</v>
      </c>
      <c r="F2241" t="s">
        <v>1853</v>
      </c>
      <c r="G2241" t="s">
        <v>1862</v>
      </c>
      <c r="H2241" t="s">
        <v>1863</v>
      </c>
      <c r="J2241" t="s">
        <v>1869</v>
      </c>
    </row>
    <row r="2242" spans="1:10">
      <c r="A2242" s="1">
        <f>HYPERLINK("https://cms.ls-nyc.org/matter/dynamic-profile/view/0777569","15-0777569")</f>
        <v>0</v>
      </c>
      <c r="B2242" t="s">
        <v>13</v>
      </c>
      <c r="C2242" t="s">
        <v>24</v>
      </c>
      <c r="D2242" t="s">
        <v>1787</v>
      </c>
      <c r="E2242" t="s">
        <v>1810</v>
      </c>
      <c r="F2242" t="s">
        <v>1853</v>
      </c>
      <c r="G2242" t="s">
        <v>1862</v>
      </c>
      <c r="H2242" t="s">
        <v>1863</v>
      </c>
      <c r="J2242" t="s">
        <v>1869</v>
      </c>
    </row>
    <row r="2243" spans="1:10">
      <c r="A2243" s="1">
        <f>HYPERLINK("https://cms.ls-nyc.org/matter/dynamic-profile/view/0775726","15-0775726")</f>
        <v>0</v>
      </c>
      <c r="B2243" t="s">
        <v>13</v>
      </c>
      <c r="C2243" t="s">
        <v>24</v>
      </c>
      <c r="D2243" t="s">
        <v>1788</v>
      </c>
      <c r="E2243" t="s">
        <v>1810</v>
      </c>
      <c r="F2243" t="s">
        <v>1853</v>
      </c>
      <c r="G2243" t="s">
        <v>1862</v>
      </c>
      <c r="J2243" t="s">
        <v>1869</v>
      </c>
    </row>
    <row r="2244" spans="1:10">
      <c r="A2244" s="1">
        <f>HYPERLINK("https://cms.ls-nyc.org/matter/dynamic-profile/view/0775986","15-0775986")</f>
        <v>0</v>
      </c>
      <c r="B2244" t="s">
        <v>11</v>
      </c>
      <c r="C2244" t="s">
        <v>32</v>
      </c>
      <c r="D2244" t="s">
        <v>1789</v>
      </c>
      <c r="E2244" t="s">
        <v>1809</v>
      </c>
      <c r="F2244" t="s">
        <v>1856</v>
      </c>
      <c r="G2244" t="s">
        <v>1862</v>
      </c>
      <c r="J2244" t="s">
        <v>1868</v>
      </c>
    </row>
    <row r="2245" spans="1:10">
      <c r="A2245" s="1">
        <f>HYPERLINK("https://cms.ls-nyc.org/matter/dynamic-profile/view/0774991","15-0774991")</f>
        <v>0</v>
      </c>
      <c r="B2245" t="s">
        <v>15</v>
      </c>
      <c r="C2245" t="s">
        <v>56</v>
      </c>
      <c r="D2245" t="s">
        <v>1790</v>
      </c>
      <c r="E2245" t="s">
        <v>1810</v>
      </c>
      <c r="F2245" t="s">
        <v>1853</v>
      </c>
      <c r="G2245" t="s">
        <v>1862</v>
      </c>
      <c r="H2245" t="s">
        <v>1864</v>
      </c>
      <c r="J2245" t="s">
        <v>1869</v>
      </c>
    </row>
    <row r="2246" spans="1:10">
      <c r="A2246" s="1">
        <f>HYPERLINK("https://cms.ls-nyc.org/matter/dynamic-profile/view/0775166","15-0775166")</f>
        <v>0</v>
      </c>
      <c r="B2246" t="s">
        <v>13</v>
      </c>
      <c r="C2246" t="s">
        <v>24</v>
      </c>
      <c r="D2246" t="s">
        <v>1183</v>
      </c>
      <c r="E2246" t="s">
        <v>1810</v>
      </c>
      <c r="F2246" t="s">
        <v>1853</v>
      </c>
      <c r="G2246" t="s">
        <v>1862</v>
      </c>
      <c r="H2246" t="s">
        <v>1863</v>
      </c>
      <c r="J2246" t="s">
        <v>1869</v>
      </c>
    </row>
    <row r="2247" spans="1:10">
      <c r="A2247" s="1">
        <f>HYPERLINK("https://cms.ls-nyc.org/matter/dynamic-profile/view/0771215","15-0771215")</f>
        <v>0</v>
      </c>
      <c r="B2247" t="s">
        <v>13</v>
      </c>
      <c r="C2247" t="s">
        <v>24</v>
      </c>
      <c r="D2247" t="s">
        <v>1791</v>
      </c>
      <c r="E2247" t="s">
        <v>1810</v>
      </c>
      <c r="F2247" t="s">
        <v>1853</v>
      </c>
      <c r="G2247" t="s">
        <v>1862</v>
      </c>
      <c r="H2247" t="s">
        <v>1863</v>
      </c>
      <c r="J2247" t="s">
        <v>1869</v>
      </c>
    </row>
    <row r="2248" spans="1:10">
      <c r="A2248" s="1">
        <f>HYPERLINK("https://cms.ls-nyc.org/matter/dynamic-profile/view/0770472","15-0770472")</f>
        <v>0</v>
      </c>
      <c r="B2248" t="s">
        <v>11</v>
      </c>
      <c r="C2248" t="s">
        <v>32</v>
      </c>
      <c r="D2248" t="s">
        <v>619</v>
      </c>
      <c r="E2248" t="s">
        <v>1849</v>
      </c>
      <c r="F2248" t="s">
        <v>1853</v>
      </c>
      <c r="G2248" t="s">
        <v>1862</v>
      </c>
      <c r="H2248" t="s">
        <v>1863</v>
      </c>
      <c r="J2248" t="s">
        <v>1869</v>
      </c>
    </row>
    <row r="2249" spans="1:10">
      <c r="A2249" s="1">
        <f>HYPERLINK("https://cms.ls-nyc.org/matter/dynamic-profile/view/0771204","15-0771204")</f>
        <v>0</v>
      </c>
      <c r="B2249" t="s">
        <v>15</v>
      </c>
      <c r="C2249" t="s">
        <v>34</v>
      </c>
      <c r="D2249" t="s">
        <v>1792</v>
      </c>
      <c r="E2249" t="s">
        <v>1803</v>
      </c>
      <c r="F2249" t="s">
        <v>1855</v>
      </c>
      <c r="G2249" t="s">
        <v>1862</v>
      </c>
      <c r="H2249" t="s">
        <v>1864</v>
      </c>
      <c r="J2249" t="s">
        <v>1871</v>
      </c>
    </row>
    <row r="2250" spans="1:10">
      <c r="A2250" s="1">
        <f>HYPERLINK("https://cms.ls-nyc.org/matter/dynamic-profile/view/0770088","15-0770088")</f>
        <v>0</v>
      </c>
      <c r="B2250" t="s">
        <v>15</v>
      </c>
      <c r="C2250" t="s">
        <v>47</v>
      </c>
      <c r="D2250" t="s">
        <v>1793</v>
      </c>
      <c r="E2250" t="s">
        <v>1849</v>
      </c>
      <c r="F2250" t="s">
        <v>1855</v>
      </c>
      <c r="G2250" t="s">
        <v>1862</v>
      </c>
      <c r="J2250" t="s">
        <v>1866</v>
      </c>
    </row>
    <row r="2251" spans="1:10">
      <c r="A2251" s="1">
        <f>HYPERLINK("https://cms.ls-nyc.org/matter/dynamic-profile/view/0763592","14-0763592")</f>
        <v>0</v>
      </c>
      <c r="B2251" t="s">
        <v>13</v>
      </c>
      <c r="C2251" t="s">
        <v>24</v>
      </c>
      <c r="D2251" t="s">
        <v>1794</v>
      </c>
      <c r="E2251" t="s">
        <v>1810</v>
      </c>
      <c r="F2251" t="s">
        <v>1853</v>
      </c>
      <c r="G2251" t="s">
        <v>1862</v>
      </c>
      <c r="H2251" t="s">
        <v>1863</v>
      </c>
      <c r="J2251" t="s">
        <v>1869</v>
      </c>
    </row>
    <row r="2252" spans="1:10">
      <c r="A2252" s="1">
        <f>HYPERLINK("https://cms.ls-nyc.org/matter/dynamic-profile/view/0765383","14-0765383")</f>
        <v>0</v>
      </c>
      <c r="B2252" t="s">
        <v>14</v>
      </c>
      <c r="C2252" t="s">
        <v>42</v>
      </c>
      <c r="D2252" t="s">
        <v>557</v>
      </c>
      <c r="E2252" t="s">
        <v>1852</v>
      </c>
      <c r="F2252" t="s">
        <v>1855</v>
      </c>
      <c r="G2252" t="s">
        <v>1862</v>
      </c>
      <c r="H2252" t="s">
        <v>1863</v>
      </c>
      <c r="J2252" t="s">
        <v>1871</v>
      </c>
    </row>
    <row r="2253" spans="1:10">
      <c r="A2253" s="1">
        <f>HYPERLINK("https://cms.ls-nyc.org/matter/dynamic-profile/view/0768119","14-0768119")</f>
        <v>0</v>
      </c>
      <c r="B2253" t="s">
        <v>14</v>
      </c>
      <c r="C2253" t="s">
        <v>42</v>
      </c>
      <c r="D2253" t="s">
        <v>1795</v>
      </c>
      <c r="F2253" t="s">
        <v>1855</v>
      </c>
      <c r="G2253" t="s">
        <v>1862</v>
      </c>
      <c r="H2253" t="s">
        <v>1863</v>
      </c>
      <c r="J2253" t="s">
        <v>1866</v>
      </c>
    </row>
    <row r="2254" spans="1:10">
      <c r="A2254" s="1">
        <f>HYPERLINK("https://cms.ls-nyc.org/matter/dynamic-profile/view/0768129","14-0768129")</f>
        <v>0</v>
      </c>
      <c r="B2254" t="s">
        <v>14</v>
      </c>
      <c r="C2254" t="s">
        <v>42</v>
      </c>
      <c r="D2254" t="s">
        <v>193</v>
      </c>
      <c r="E2254" t="s">
        <v>1809</v>
      </c>
      <c r="F2254" t="s">
        <v>1855</v>
      </c>
      <c r="G2254" t="s">
        <v>1862</v>
      </c>
      <c r="H2254" t="s">
        <v>1863</v>
      </c>
      <c r="J2254" t="s">
        <v>1870</v>
      </c>
    </row>
    <row r="2255" spans="1:10">
      <c r="A2255" s="1">
        <f>HYPERLINK("https://cms.ls-nyc.org/matter/dynamic-profile/view/0763319","14-0763319")</f>
        <v>0</v>
      </c>
      <c r="B2255" t="s">
        <v>13</v>
      </c>
      <c r="C2255" t="s">
        <v>24</v>
      </c>
      <c r="D2255" t="s">
        <v>1796</v>
      </c>
      <c r="E2255" t="s">
        <v>1810</v>
      </c>
      <c r="F2255" t="s">
        <v>1853</v>
      </c>
      <c r="G2255" t="s">
        <v>1862</v>
      </c>
      <c r="H2255" t="s">
        <v>1863</v>
      </c>
      <c r="J2255" t="s">
        <v>1869</v>
      </c>
    </row>
    <row r="2256" spans="1:10">
      <c r="A2256" s="1">
        <f>HYPERLINK("https://cms.ls-nyc.org/matter/dynamic-profile/view/0754603","14-0754603")</f>
        <v>0</v>
      </c>
      <c r="B2256" t="s">
        <v>12</v>
      </c>
      <c r="C2256" t="s">
        <v>20</v>
      </c>
      <c r="D2256" t="s">
        <v>1797</v>
      </c>
      <c r="E2256" t="s">
        <v>1810</v>
      </c>
      <c r="G2256" t="s">
        <v>1862</v>
      </c>
      <c r="J2256" t="s">
        <v>1869</v>
      </c>
    </row>
    <row r="2257" spans="1:10">
      <c r="A2257" s="1">
        <f>HYPERLINK("https://cms.ls-nyc.org/matter/dynamic-profile/view/0749345","14-0749345")</f>
        <v>0</v>
      </c>
      <c r="B2257" t="s">
        <v>15</v>
      </c>
      <c r="C2257" t="s">
        <v>34</v>
      </c>
      <c r="D2257" t="s">
        <v>1292</v>
      </c>
      <c r="E2257" t="s">
        <v>1810</v>
      </c>
      <c r="F2257" t="s">
        <v>1853</v>
      </c>
      <c r="G2257" t="s">
        <v>1862</v>
      </c>
      <c r="H2257" t="s">
        <v>1863</v>
      </c>
      <c r="J2257" t="s">
        <v>1869</v>
      </c>
    </row>
    <row r="2258" spans="1:10">
      <c r="A2258" s="1">
        <f>HYPERLINK("https://cms.ls-nyc.org/matter/dynamic-profile/view/0732424","13-0732424")</f>
        <v>0</v>
      </c>
      <c r="B2258" t="s">
        <v>13</v>
      </c>
      <c r="C2258" t="s">
        <v>24</v>
      </c>
      <c r="D2258" t="s">
        <v>1798</v>
      </c>
      <c r="E2258" t="s">
        <v>1821</v>
      </c>
      <c r="F2258" t="s">
        <v>1853</v>
      </c>
      <c r="G2258" t="s">
        <v>1862</v>
      </c>
      <c r="J2258" t="s">
        <v>1867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2019-06-17T16:30:24Z</dcterms:created>
  <dcterms:modified xsi:type="dcterms:W3CDTF">2019-06-17T16:30:24Z</dcterms:modified>
</cp:coreProperties>
</file>