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<sst xmlns="http://schemas.openxmlformats.org/spreadsheetml/2006/main" count="44707" uniqueCount="9562">
  <si>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</si>
  <si>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</si>
  <si>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</si>
  <si>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</si>
  <si>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</si>
  <si>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</si>
  <si>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</si>
  <si>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</si>
  <si>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</si>
  <si>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</si>
  <si>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</si>
  <si>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</si>
  <si>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</si>
  <si>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Housing Income Verification</t>
  </si>
  <si>
    <t>Primary Funding Code</t>
  </si>
  <si>
    <t>Gen Case Index Number</t>
  </si>
  <si>
    <t>Housing Type Of Case</t>
  </si>
  <si>
    <t>Housing Level of Service</t>
  </si>
  <si>
    <t>Close Reason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</si>
  <si>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</si>
  <si>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</si>
  <si>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</si>
  <si>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</si>
  <si>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</si>
  <si>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</si>
  <si>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</si>
  <si>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</si>
  <si>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</si>
  <si>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</si>
  <si>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</si>
  <si>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</si>
  <si>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</si>
  <si>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</si>
  <si>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</si>
  <si>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</si>
  <si>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</si>
  <si>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</si>
  <si>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</si>
  <si>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</si>
  <si>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</si>
  <si>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</si>
  <si>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</si>
  <si>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</si>
  <si>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</si>
  <si>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</si>
  <si>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</si>
  <si>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</si>
  <si>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</si>
  <si>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Caseworker Name</t>
  </si>
  <si>
    <t>Ascher, Ann</t>
  </si>
  <si>
    <t>Atuegbu, Chidera</t>
  </si>
  <si>
    <t>Banks, Melissa</t>
  </si>
  <si>
    <t>Barreda, Catherine</t>
  </si>
  <si>
    <t>Barrett, Samantha</t>
  </si>
  <si>
    <t>Bernardez, Florencita</t>
  </si>
  <si>
    <t>Casey, Jonnelle</t>
  </si>
  <si>
    <t>Chan, Vincce</t>
  </si>
  <si>
    <t>Clifford, Mun</t>
  </si>
  <si>
    <t>DeStefano, Jessica</t>
  </si>
  <si>
    <t>Diaz, Lino</t>
  </si>
  <si>
    <t>Flores, Irene</t>
  </si>
  <si>
    <t>Gardner III, George</t>
  </si>
  <si>
    <t>Goldberg, Heather</t>
  </si>
  <si>
    <t>Hammond, Robert</t>
  </si>
  <si>
    <t>Hoque, Shatti</t>
  </si>
  <si>
    <t>Jacobs, Alex</t>
  </si>
  <si>
    <t>Kook, Heejung</t>
  </si>
  <si>
    <t>Lam, Kevin</t>
  </si>
  <si>
    <t>Lee, Thomas</t>
  </si>
  <si>
    <t>Lin, Evelyn</t>
  </si>
  <si>
    <t>Lin, Tina</t>
  </si>
  <si>
    <t>Maltezos, Alexander</t>
  </si>
  <si>
    <t>Mui, Ernie</t>
  </si>
  <si>
    <t>Namuche, Raquel</t>
  </si>
  <si>
    <t>Pozo, Caridad</t>
  </si>
  <si>
    <t>Rhee, Bohee</t>
  </si>
  <si>
    <t>Salas, Emma</t>
  </si>
  <si>
    <t>Sanderman, Robert</t>
  </si>
  <si>
    <t>Santos, Marisol</t>
  </si>
  <si>
    <t>Saywack, Priam</t>
  </si>
  <si>
    <t>Tadepalli, Ashwin</t>
  </si>
  <si>
    <t>Umoke, Jacob</t>
  </si>
  <si>
    <t>Closed</t>
  </si>
  <si>
    <t>Open</t>
  </si>
  <si>
    <t>10/17/2018</t>
  </si>
  <si>
    <t>08/13/2018</t>
  </si>
  <si>
    <t>11/27/2018</t>
  </si>
  <si>
    <t>05/23/2019</t>
  </si>
  <si>
    <t>01/24/2019</t>
  </si>
  <si>
    <t>02/27/2019</t>
  </si>
  <si>
    <t>05/30/2019</t>
  </si>
  <si>
    <t>05/20/2019</t>
  </si>
  <si>
    <t>10/09/2018</t>
  </si>
  <si>
    <t>05/02/2019</t>
  </si>
  <si>
    <t>04/03/2019</t>
  </si>
  <si>
    <t>05/15/2019</t>
  </si>
  <si>
    <t>03/15/2019</t>
  </si>
  <si>
    <t>05/24/2019</t>
  </si>
  <si>
    <t>02/14/2019</t>
  </si>
  <si>
    <t>05/16/2019</t>
  </si>
  <si>
    <t>02/04/2019</t>
  </si>
  <si>
    <t>03/26/2019</t>
  </si>
  <si>
    <t>07/03/2018</t>
  </si>
  <si>
    <t>08/08/2018</t>
  </si>
  <si>
    <t>05/09/2019</t>
  </si>
  <si>
    <t>04/04/2019</t>
  </si>
  <si>
    <t>04/18/2019</t>
  </si>
  <si>
    <t>04/22/2019</t>
  </si>
  <si>
    <t>12/05/2018</t>
  </si>
  <si>
    <t>02/11/2019</t>
  </si>
  <si>
    <t>04/17/2019</t>
  </si>
  <si>
    <t>11/08/2018</t>
  </si>
  <si>
    <t>07/31/2018</t>
  </si>
  <si>
    <t>07/10/2018</t>
  </si>
  <si>
    <t>03/07/2019</t>
  </si>
  <si>
    <t>02/21/2019</t>
  </si>
  <si>
    <t>02/13/2019</t>
  </si>
  <si>
    <t>04/11/2019</t>
  </si>
  <si>
    <t>08/14/2018</t>
  </si>
  <si>
    <t>01/29/2019</t>
  </si>
  <si>
    <t>09/05/2018</t>
  </si>
  <si>
    <t>03/20/2019</t>
  </si>
  <si>
    <t>08/21/2018</t>
  </si>
  <si>
    <t>04/25/2019</t>
  </si>
  <si>
    <t>05/10/2019</t>
  </si>
  <si>
    <t>01/22/2019</t>
  </si>
  <si>
    <t>09/18/2018</t>
  </si>
  <si>
    <t>02/07/2019</t>
  </si>
  <si>
    <t>10/03/2018</t>
  </si>
  <si>
    <t>04/30/2019</t>
  </si>
  <si>
    <t>11/01/2018</t>
  </si>
  <si>
    <t>08/01/2018</t>
  </si>
  <si>
    <t>04/08/2019</t>
  </si>
  <si>
    <t>07/24/2018</t>
  </si>
  <si>
    <t>03/05/2019</t>
  </si>
  <si>
    <t>01/17/2019</t>
  </si>
  <si>
    <t>01/10/2019</t>
  </si>
  <si>
    <t>09/20/2018</t>
  </si>
  <si>
    <t>04/05/2019</t>
  </si>
  <si>
    <t>11/14/2018</t>
  </si>
  <si>
    <t>10/23/2018</t>
  </si>
  <si>
    <t>05/01/2019</t>
  </si>
  <si>
    <t>12/03/2018</t>
  </si>
  <si>
    <t>07/18/2018</t>
  </si>
  <si>
    <t>01/16/2019</t>
  </si>
  <si>
    <t>11/15/2018</t>
  </si>
  <si>
    <t>09/24/2018</t>
  </si>
  <si>
    <t>09/25/2018</t>
  </si>
  <si>
    <t>07/27/2018</t>
  </si>
  <si>
    <t>11/29/2018</t>
  </si>
  <si>
    <t>10/24/2018</t>
  </si>
  <si>
    <t>08/22/2018</t>
  </si>
  <si>
    <t>01/15/2019</t>
  </si>
  <si>
    <t>07/25/2018</t>
  </si>
  <si>
    <t>12/26/2018</t>
  </si>
  <si>
    <t>04/23/2019</t>
  </si>
  <si>
    <t>05/27/2019</t>
  </si>
  <si>
    <t>03/08/2019</t>
  </si>
  <si>
    <t>02/15/2019</t>
  </si>
  <si>
    <t>01/30/2019</t>
  </si>
  <si>
    <t>02/28/2019</t>
  </si>
  <si>
    <t>05/08/2019</t>
  </si>
  <si>
    <t>01/25/2019</t>
  </si>
  <si>
    <t>03/04/2019</t>
  </si>
  <si>
    <t>05/21/2019</t>
  </si>
  <si>
    <t>02/26/2019</t>
  </si>
  <si>
    <t>05/28/2019</t>
  </si>
  <si>
    <t>02/19/2019</t>
  </si>
  <si>
    <t>03/27/2019</t>
  </si>
  <si>
    <t>03/21/2019</t>
  </si>
  <si>
    <t>10/30/2018</t>
  </si>
  <si>
    <t>01/31/2019</t>
  </si>
  <si>
    <t>04/29/2019</t>
  </si>
  <si>
    <t>03/11/2019</t>
  </si>
  <si>
    <t>12/04/2018</t>
  </si>
  <si>
    <t>02/05/2019</t>
  </si>
  <si>
    <t>03/06/2019</t>
  </si>
  <si>
    <t>08/15/2018</t>
  </si>
  <si>
    <t>09/04/2018</t>
  </si>
  <si>
    <t>03/14/2019</t>
  </si>
  <si>
    <t>09/12/2018</t>
  </si>
  <si>
    <t>09/11/2018</t>
  </si>
  <si>
    <t>12/20/2018</t>
  </si>
  <si>
    <t>01/08/2019</t>
  </si>
  <si>
    <t>10/10/2018</t>
  </si>
  <si>
    <t>12/11/2018</t>
  </si>
  <si>
    <t>11/20/2018</t>
  </si>
  <si>
    <t>12/13/2018</t>
  </si>
  <si>
    <t>09/19/2018</t>
  </si>
  <si>
    <t>12/27/2018</t>
  </si>
  <si>
    <t>12/06/2018</t>
  </si>
  <si>
    <t>12/18/2018</t>
  </si>
  <si>
    <t>07/12/2018</t>
  </si>
  <si>
    <t>01/03/2019</t>
  </si>
  <si>
    <t>08/29/2018</t>
  </si>
  <si>
    <t>07/17/2018</t>
  </si>
  <si>
    <t>11/16/2018</t>
  </si>
  <si>
    <t>02/25/2019</t>
  </si>
  <si>
    <t>01/18/2019</t>
  </si>
  <si>
    <t>09/10/2018</t>
  </si>
  <si>
    <t>03/22/2019</t>
  </si>
  <si>
    <t>10/31/2018</t>
  </si>
  <si>
    <t>01/07/2019</t>
  </si>
  <si>
    <t>12/19/2018</t>
  </si>
  <si>
    <t>07/20/2018</t>
  </si>
  <si>
    <t>04/24/2019</t>
  </si>
  <si>
    <t>04/02/2019</t>
  </si>
  <si>
    <t>12/28/2018</t>
  </si>
  <si>
    <t>04/26/2019</t>
  </si>
  <si>
    <t>03/12/2019</t>
  </si>
  <si>
    <t>03/18/2019</t>
  </si>
  <si>
    <t>03/19/2019</t>
  </si>
  <si>
    <t>08/07/2018</t>
  </si>
  <si>
    <t>04/12/2019</t>
  </si>
  <si>
    <t>04/01/2019</t>
  </si>
  <si>
    <t>09/26/2018</t>
  </si>
  <si>
    <t>05/17/2019</t>
  </si>
  <si>
    <t>05/29/2019</t>
  </si>
  <si>
    <t>03/28/2019</t>
  </si>
  <si>
    <t>08/06/2018</t>
  </si>
  <si>
    <t>10/02/2018</t>
  </si>
  <si>
    <t>12/07/2018</t>
  </si>
  <si>
    <t>11/28/2018</t>
  </si>
  <si>
    <t>11/13/2018</t>
  </si>
  <si>
    <t>07/23/2018</t>
  </si>
  <si>
    <t>10/12/2018</t>
  </si>
  <si>
    <t>07/09/2018</t>
  </si>
  <si>
    <t>10/16/2018</t>
  </si>
  <si>
    <t>09/14/2018</t>
  </si>
  <si>
    <t>10/05/2018</t>
  </si>
  <si>
    <t>05/14/2019</t>
  </si>
  <si>
    <t>07/06/2018</t>
  </si>
  <si>
    <t>05/22/2019</t>
  </si>
  <si>
    <t>02/22/2019</t>
  </si>
  <si>
    <t>02/20/2019</t>
  </si>
  <si>
    <t>12/21/2018</t>
  </si>
  <si>
    <t>02/06/2019</t>
  </si>
  <si>
    <t>04/19/2019</t>
  </si>
  <si>
    <t>03/29/2019</t>
  </si>
  <si>
    <t>01/28/2019</t>
  </si>
  <si>
    <t>04/16/2019</t>
  </si>
  <si>
    <t>03/01/2019</t>
  </si>
  <si>
    <t>09/13/2018</t>
  </si>
  <si>
    <t>10/01/2018</t>
  </si>
  <si>
    <t>02/01/2019</t>
  </si>
  <si>
    <t>01/23/2019</t>
  </si>
  <si>
    <t>04/09/2019</t>
  </si>
  <si>
    <t>10/29/2018</t>
  </si>
  <si>
    <t>04/10/2019</t>
  </si>
  <si>
    <t>01/04/2019</t>
  </si>
  <si>
    <t>05/31/2019</t>
  </si>
  <si>
    <t>07/16/2018</t>
  </si>
  <si>
    <t>09/07/2018</t>
  </si>
  <si>
    <t>11/02/2018</t>
  </si>
  <si>
    <t>07/05/2018</t>
  </si>
  <si>
    <t>12/12/2018</t>
  </si>
  <si>
    <t>10/19/2018</t>
  </si>
  <si>
    <t>08/23/2018</t>
  </si>
  <si>
    <t>01/14/2019</t>
  </si>
  <si>
    <t>09/06/2018</t>
  </si>
  <si>
    <t>08/28/2018</t>
  </si>
  <si>
    <t>07/19/2018</t>
  </si>
  <si>
    <t>07/13/2018</t>
  </si>
  <si>
    <t>08/20/2018</t>
  </si>
  <si>
    <t>07/30/2018</t>
  </si>
  <si>
    <t>12/14/2018</t>
  </si>
  <si>
    <t>08/31/2018</t>
  </si>
  <si>
    <t>08/16/2018</t>
  </si>
  <si>
    <t>11/05/2018</t>
  </si>
  <si>
    <t>10/25/2018</t>
  </si>
  <si>
    <t>05/07/2019</t>
  </si>
  <si>
    <t>03/25/2019</t>
  </si>
  <si>
    <t>08/24/2018</t>
  </si>
  <si>
    <t>03/13/2019</t>
  </si>
  <si>
    <t>10/26/2018</t>
  </si>
  <si>
    <t>05/06/2019</t>
  </si>
  <si>
    <t>10/11/2018</t>
  </si>
  <si>
    <t>10/22/2018</t>
  </si>
  <si>
    <t>08/27/2018</t>
  </si>
  <si>
    <t>09/27/2018</t>
  </si>
  <si>
    <t>11/09/2018</t>
  </si>
  <si>
    <t>01/11/2019</t>
  </si>
  <si>
    <t>12/31/2018</t>
  </si>
  <si>
    <t>05/13/2019</t>
  </si>
  <si>
    <t>01/09/2019</t>
  </si>
  <si>
    <t>04/14/2019</t>
  </si>
  <si>
    <t>11/30/2018</t>
  </si>
  <si>
    <t>08/30/2018</t>
  </si>
  <si>
    <t>06/05/2019</t>
  </si>
  <si>
    <t>06/04/2019</t>
  </si>
  <si>
    <t>11/06/2018</t>
  </si>
  <si>
    <t>02/08/2019</t>
  </si>
  <si>
    <t>01/02/2019</t>
  </si>
  <si>
    <t>08/03/2018</t>
  </si>
  <si>
    <t>06/11/2019</t>
  </si>
  <si>
    <t>12/10/2018</t>
  </si>
  <si>
    <t>08/17/2018</t>
  </si>
  <si>
    <t>08/02/2018</t>
  </si>
  <si>
    <t>06/10/2019</t>
  </si>
  <si>
    <t>06/03/2019</t>
  </si>
  <si>
    <t>10/04/2018</t>
  </si>
  <si>
    <t>12/16/2018</t>
  </si>
  <si>
    <t>09/29/2018</t>
  </si>
  <si>
    <t>12/24/2018</t>
  </si>
  <si>
    <t>11/21/2018</t>
  </si>
  <si>
    <t>09/21/2018</t>
  </si>
  <si>
    <t>10/18/2018</t>
  </si>
  <si>
    <t>09/17/2018</t>
  </si>
  <si>
    <t>11/19/2018</t>
  </si>
  <si>
    <t>08/10/2018</t>
  </si>
  <si>
    <t>06/12/2019</t>
  </si>
  <si>
    <t>10/15/2018</t>
  </si>
  <si>
    <t>12/25/2018</t>
  </si>
  <si>
    <t>05/03/2019</t>
  </si>
  <si>
    <t>12/17/2018</t>
  </si>
  <si>
    <t>Anita</t>
  </si>
  <si>
    <t>Kimberly</t>
  </si>
  <si>
    <t>Nasima</t>
  </si>
  <si>
    <t>Hemwattee</t>
  </si>
  <si>
    <t>Debra</t>
  </si>
  <si>
    <t>Deborah</t>
  </si>
  <si>
    <t>Pamela</t>
  </si>
  <si>
    <t>Theo</t>
  </si>
  <si>
    <t>Nagina</t>
  </si>
  <si>
    <t>Jewel</t>
  </si>
  <si>
    <t>Lidia</t>
  </si>
  <si>
    <t>Katrina</t>
  </si>
  <si>
    <t>John</t>
  </si>
  <si>
    <t>Henry</t>
  </si>
  <si>
    <t>Robert</t>
  </si>
  <si>
    <t>Verbien</t>
  </si>
  <si>
    <t>Carmen</t>
  </si>
  <si>
    <t>Donald</t>
  </si>
  <si>
    <t>Martha</t>
  </si>
  <si>
    <t>Humberto</t>
  </si>
  <si>
    <t>Melvin</t>
  </si>
  <si>
    <t>Stanley</t>
  </si>
  <si>
    <t>Richard</t>
  </si>
  <si>
    <t>Natasha</t>
  </si>
  <si>
    <t>Mohammed</t>
  </si>
  <si>
    <t>Christopher</t>
  </si>
  <si>
    <t>Jannatul</t>
  </si>
  <si>
    <t>Esha</t>
  </si>
  <si>
    <t>Sashagaye</t>
  </si>
  <si>
    <t>Michael</t>
  </si>
  <si>
    <t>Olha</t>
  </si>
  <si>
    <t>Luz Marlene</t>
  </si>
  <si>
    <t>Denise</t>
  </si>
  <si>
    <t>Lale</t>
  </si>
  <si>
    <t>Matthew</t>
  </si>
  <si>
    <t>Guilermina</t>
  </si>
  <si>
    <t>Harry</t>
  </si>
  <si>
    <t>Heidy</t>
  </si>
  <si>
    <t>Novell</t>
  </si>
  <si>
    <t>Ronald</t>
  </si>
  <si>
    <t>Edward</t>
  </si>
  <si>
    <t>Lenise</t>
  </si>
  <si>
    <t>Tieara</t>
  </si>
  <si>
    <t>Iris</t>
  </si>
  <si>
    <t>Sooragnarine</t>
  </si>
  <si>
    <t>Denzel</t>
  </si>
  <si>
    <t>Sherrylyn</t>
  </si>
  <si>
    <t>Shahara</t>
  </si>
  <si>
    <t>Vivian</t>
  </si>
  <si>
    <t>Wanda</t>
  </si>
  <si>
    <t>Decaris</t>
  </si>
  <si>
    <t>Maribel</t>
  </si>
  <si>
    <t>Sherry</t>
  </si>
  <si>
    <t>MD</t>
  </si>
  <si>
    <t>Naglah</t>
  </si>
  <si>
    <t>Beverly</t>
  </si>
  <si>
    <t>Autumn</t>
  </si>
  <si>
    <t>Hopton</t>
  </si>
  <si>
    <t>Jamshid</t>
  </si>
  <si>
    <t>Charmaine</t>
  </si>
  <si>
    <t>George</t>
  </si>
  <si>
    <t>Maria</t>
  </si>
  <si>
    <t>Charmell</t>
  </si>
  <si>
    <t>Clarence</t>
  </si>
  <si>
    <t>Fazeea</t>
  </si>
  <si>
    <t>Joyce</t>
  </si>
  <si>
    <t>Jose</t>
  </si>
  <si>
    <t>Catherine</t>
  </si>
  <si>
    <t>Lilia</t>
  </si>
  <si>
    <t>Joy</t>
  </si>
  <si>
    <t>Leticia</t>
  </si>
  <si>
    <t>Maritza</t>
  </si>
  <si>
    <t>Anthony</t>
  </si>
  <si>
    <t>Walter</t>
  </si>
  <si>
    <t>Linda</t>
  </si>
  <si>
    <t>Curtis</t>
  </si>
  <si>
    <t>Antonette</t>
  </si>
  <si>
    <t>Janet</t>
  </si>
  <si>
    <t>Roxanna</t>
  </si>
  <si>
    <t>Sheila</t>
  </si>
  <si>
    <t>Lorene</t>
  </si>
  <si>
    <t>Siriphan</t>
  </si>
  <si>
    <t>Marlyn</t>
  </si>
  <si>
    <t>Marie</t>
  </si>
  <si>
    <t>Alberto</t>
  </si>
  <si>
    <t>Lorenzo</t>
  </si>
  <si>
    <t>William</t>
  </si>
  <si>
    <t>Regina</t>
  </si>
  <si>
    <t>Lizabeth</t>
  </si>
  <si>
    <t>Jully</t>
  </si>
  <si>
    <t>Josephine</t>
  </si>
  <si>
    <t>Lashon</t>
  </si>
  <si>
    <t>Shaquana</t>
  </si>
  <si>
    <t>Terry</t>
  </si>
  <si>
    <t>Vinette</t>
  </si>
  <si>
    <t>Mark</t>
  </si>
  <si>
    <t>Mac Davis</t>
  </si>
  <si>
    <t>Elizabeth</t>
  </si>
  <si>
    <t>Yadira</t>
  </si>
  <si>
    <t>Sofia</t>
  </si>
  <si>
    <t>Theresa</t>
  </si>
  <si>
    <t>Xiao</t>
  </si>
  <si>
    <t>Thomas</t>
  </si>
  <si>
    <t>Pierre</t>
  </si>
  <si>
    <t>Felicia</t>
  </si>
  <si>
    <t>Shahnaz</t>
  </si>
  <si>
    <t>Yahaira</t>
  </si>
  <si>
    <t>Vincent</t>
  </si>
  <si>
    <t>Lutful</t>
  </si>
  <si>
    <t>Lee</t>
  </si>
  <si>
    <t>Robin</t>
  </si>
  <si>
    <t>Blanca</t>
  </si>
  <si>
    <t>Dora</t>
  </si>
  <si>
    <t>Yingxi</t>
  </si>
  <si>
    <t>Holger</t>
  </si>
  <si>
    <t>Nurettin</t>
  </si>
  <si>
    <t>Mayra</t>
  </si>
  <si>
    <t>Takeyia</t>
  </si>
  <si>
    <t>Alesandra</t>
  </si>
  <si>
    <t>Ruth Ann</t>
  </si>
  <si>
    <t>Lupe</t>
  </si>
  <si>
    <t>Vidoutie</t>
  </si>
  <si>
    <t>Mileika</t>
  </si>
  <si>
    <t>Rosa</t>
  </si>
  <si>
    <t>Eileen</t>
  </si>
  <si>
    <t>Faisal</t>
  </si>
  <si>
    <t>Andre</t>
  </si>
  <si>
    <t>Young Tae</t>
  </si>
  <si>
    <t>Willie</t>
  </si>
  <si>
    <t>Ara</t>
  </si>
  <si>
    <t>Janean</t>
  </si>
  <si>
    <t>Lillie</t>
  </si>
  <si>
    <t>Martine</t>
  </si>
  <si>
    <t>Sankar</t>
  </si>
  <si>
    <t>Tamika</t>
  </si>
  <si>
    <t>Tiffany</t>
  </si>
  <si>
    <t>Christian</t>
  </si>
  <si>
    <t>Alicia</t>
  </si>
  <si>
    <t>Vena</t>
  </si>
  <si>
    <t>Jackelin</t>
  </si>
  <si>
    <t>Infiniti</t>
  </si>
  <si>
    <t>Alba</t>
  </si>
  <si>
    <t>Brenda</t>
  </si>
  <si>
    <t>Leonora</t>
  </si>
  <si>
    <t>Khaloud</t>
  </si>
  <si>
    <t>Carolina</t>
  </si>
  <si>
    <t>Sophia</t>
  </si>
  <si>
    <t>Katricia</t>
  </si>
  <si>
    <t>Zsuzsanna</t>
  </si>
  <si>
    <t>Annmarie</t>
  </si>
  <si>
    <t>Eliana</t>
  </si>
  <si>
    <t>Nelly</t>
  </si>
  <si>
    <t>Masudur</t>
  </si>
  <si>
    <t>Luis</t>
  </si>
  <si>
    <t>Wilson</t>
  </si>
  <si>
    <t>Sandaran</t>
  </si>
  <si>
    <t>Jennifer</t>
  </si>
  <si>
    <t>Jhon</t>
  </si>
  <si>
    <t>James</t>
  </si>
  <si>
    <t>Gail</t>
  </si>
  <si>
    <t>Charlotte</t>
  </si>
  <si>
    <t>Dilan</t>
  </si>
  <si>
    <t>Janice</t>
  </si>
  <si>
    <t>Kimiko</t>
  </si>
  <si>
    <t>Troy</t>
  </si>
  <si>
    <t>Joann</t>
  </si>
  <si>
    <t>Natalie</t>
  </si>
  <si>
    <t>Margaret</t>
  </si>
  <si>
    <t>Patricia</t>
  </si>
  <si>
    <t>Argenis</t>
  </si>
  <si>
    <t>Loriana</t>
  </si>
  <si>
    <t>Ray</t>
  </si>
  <si>
    <t>Patrick</t>
  </si>
  <si>
    <t>Beverley</t>
  </si>
  <si>
    <t>Amira</t>
  </si>
  <si>
    <t>Stephanie</t>
  </si>
  <si>
    <t>Janelle</t>
  </si>
  <si>
    <t>Dawonda</t>
  </si>
  <si>
    <t>Jenny</t>
  </si>
  <si>
    <t>Charles</t>
  </si>
  <si>
    <t>Bryant</t>
  </si>
  <si>
    <t>Paola</t>
  </si>
  <si>
    <t>Monica</t>
  </si>
  <si>
    <t>Yvette</t>
  </si>
  <si>
    <t>Devrin</t>
  </si>
  <si>
    <t>David</t>
  </si>
  <si>
    <t>Phillip</t>
  </si>
  <si>
    <t>Takenya</t>
  </si>
  <si>
    <t>Andrew</t>
  </si>
  <si>
    <t>Pretty</t>
  </si>
  <si>
    <t>Kristal</t>
  </si>
  <si>
    <t>Marek</t>
  </si>
  <si>
    <t>Iriana</t>
  </si>
  <si>
    <t>Antionette</t>
  </si>
  <si>
    <t>Balvinder</t>
  </si>
  <si>
    <t>Kevin</t>
  </si>
  <si>
    <t>Nelson</t>
  </si>
  <si>
    <t>Alexandra</t>
  </si>
  <si>
    <t>Yoko</t>
  </si>
  <si>
    <t>Jamilah</t>
  </si>
  <si>
    <t>Monique</t>
  </si>
  <si>
    <t>Juliane</t>
  </si>
  <si>
    <t>Meena</t>
  </si>
  <si>
    <t>Antonio</t>
  </si>
  <si>
    <t>Valentina</t>
  </si>
  <si>
    <t>Yemani</t>
  </si>
  <si>
    <t>Kecia</t>
  </si>
  <si>
    <t>Jeon</t>
  </si>
  <si>
    <t>Percy</t>
  </si>
  <si>
    <t>Zenon</t>
  </si>
  <si>
    <t>Bertha</t>
  </si>
  <si>
    <t>Jannis</t>
  </si>
  <si>
    <t>Brandon</t>
  </si>
  <si>
    <t>Fatima</t>
  </si>
  <si>
    <t>Sayedreza</t>
  </si>
  <si>
    <t>Ardina</t>
  </si>
  <si>
    <t>Pedro</t>
  </si>
  <si>
    <t>Aaishah</t>
  </si>
  <si>
    <t>Lire</t>
  </si>
  <si>
    <t>Normalin</t>
  </si>
  <si>
    <t>Helen</t>
  </si>
  <si>
    <t>Tak</t>
  </si>
  <si>
    <t>Jamika</t>
  </si>
  <si>
    <t>Tinlay</t>
  </si>
  <si>
    <t>Carol</t>
  </si>
  <si>
    <t>Jill</t>
  </si>
  <si>
    <t>Denis</t>
  </si>
  <si>
    <t>Dallas</t>
  </si>
  <si>
    <t>Carlos</t>
  </si>
  <si>
    <t>Garth</t>
  </si>
  <si>
    <t>Jasmin</t>
  </si>
  <si>
    <t>Gladys</t>
  </si>
  <si>
    <t>Crystal</t>
  </si>
  <si>
    <t>Yamileth</t>
  </si>
  <si>
    <t>Rhea</t>
  </si>
  <si>
    <t>Milagros</t>
  </si>
  <si>
    <t>Jeanette</t>
  </si>
  <si>
    <t>Ytalia</t>
  </si>
  <si>
    <t>Darryl</t>
  </si>
  <si>
    <t>Phyllis</t>
  </si>
  <si>
    <t>Joel</t>
  </si>
  <si>
    <t>Sharon</t>
  </si>
  <si>
    <t>Rosiny</t>
  </si>
  <si>
    <t>Claudia</t>
  </si>
  <si>
    <t>Rosa Lee</t>
  </si>
  <si>
    <t>Nidia</t>
  </si>
  <si>
    <t>Zarnigor</t>
  </si>
  <si>
    <t>Shirley</t>
  </si>
  <si>
    <t>Joan</t>
  </si>
  <si>
    <t>Gerald</t>
  </si>
  <si>
    <t>Valesia</t>
  </si>
  <si>
    <t>Leroy</t>
  </si>
  <si>
    <t>Prince</t>
  </si>
  <si>
    <t>Gillian</t>
  </si>
  <si>
    <t>Cassandra</t>
  </si>
  <si>
    <t>Susan</t>
  </si>
  <si>
    <t>Lourdes</t>
  </si>
  <si>
    <t>Esofina</t>
  </si>
  <si>
    <t>Leidy</t>
  </si>
  <si>
    <t>Jean</t>
  </si>
  <si>
    <t>Zinelle</t>
  </si>
  <si>
    <t>Adriana</t>
  </si>
  <si>
    <t>Joshua</t>
  </si>
  <si>
    <t>Rashid</t>
  </si>
  <si>
    <t>Marisol</t>
  </si>
  <si>
    <t>Kathy</t>
  </si>
  <si>
    <t>Mercedes</t>
  </si>
  <si>
    <t>Evans</t>
  </si>
  <si>
    <t>Tracey</t>
  </si>
  <si>
    <t>Ronica</t>
  </si>
  <si>
    <t>Veronica</t>
  </si>
  <si>
    <t>Shazzadi</t>
  </si>
  <si>
    <t>Cynthia</t>
  </si>
  <si>
    <t>Jared</t>
  </si>
  <si>
    <t>Jahyayra</t>
  </si>
  <si>
    <t>Tammy</t>
  </si>
  <si>
    <t>Bouchra</t>
  </si>
  <si>
    <t>Cathy</t>
  </si>
  <si>
    <t>Lorie</t>
  </si>
  <si>
    <t>Mitchel</t>
  </si>
  <si>
    <t>Avril</t>
  </si>
  <si>
    <t>Jamel</t>
  </si>
  <si>
    <t>Steven</t>
  </si>
  <si>
    <t>Francella</t>
  </si>
  <si>
    <t>Marcia</t>
  </si>
  <si>
    <t>Angel</t>
  </si>
  <si>
    <t>Tivisay</t>
  </si>
  <si>
    <t>Bladimir</t>
  </si>
  <si>
    <t>Nasgina</t>
  </si>
  <si>
    <t>Georgina</t>
  </si>
  <si>
    <t>Xin</t>
  </si>
  <si>
    <t>Missurielle</t>
  </si>
  <si>
    <t>Eve</t>
  </si>
  <si>
    <t>Teresa</t>
  </si>
  <si>
    <t>Rachel</t>
  </si>
  <si>
    <t>Jacqueline</t>
  </si>
  <si>
    <t>Shellice</t>
  </si>
  <si>
    <t>Samsun</t>
  </si>
  <si>
    <t>April</t>
  </si>
  <si>
    <t>Margoth</t>
  </si>
  <si>
    <t>Fredy</t>
  </si>
  <si>
    <t>Shreick</t>
  </si>
  <si>
    <t>Melanie</t>
  </si>
  <si>
    <t>Nyasia</t>
  </si>
  <si>
    <t>Shahana</t>
  </si>
  <si>
    <t>Bilawal</t>
  </si>
  <si>
    <t>Mattie</t>
  </si>
  <si>
    <t>Rosanna</t>
  </si>
  <si>
    <t>Timothy</t>
  </si>
  <si>
    <t>Leslie</t>
  </si>
  <si>
    <t>Cesar</t>
  </si>
  <si>
    <t>Farrah</t>
  </si>
  <si>
    <t>Delilah</t>
  </si>
  <si>
    <t>Loretta</t>
  </si>
  <si>
    <t>Calvin</t>
  </si>
  <si>
    <t>Taniesha</t>
  </si>
  <si>
    <t>Nicole</t>
  </si>
  <si>
    <t>Catrina</t>
  </si>
  <si>
    <t>Julaina</t>
  </si>
  <si>
    <t>Ebony</t>
  </si>
  <si>
    <t>Mohammad</t>
  </si>
  <si>
    <t>Nakeda</t>
  </si>
  <si>
    <t>Kaium-Shah</t>
  </si>
  <si>
    <t>Momodou</t>
  </si>
  <si>
    <t>Kabir</t>
  </si>
  <si>
    <t>Donna</t>
  </si>
  <si>
    <t>Miree</t>
  </si>
  <si>
    <t>Rose</t>
  </si>
  <si>
    <t>Dianne</t>
  </si>
  <si>
    <t>Almaida</t>
  </si>
  <si>
    <t>Ira</t>
  </si>
  <si>
    <t>Carmela</t>
  </si>
  <si>
    <t>Arcangel</t>
  </si>
  <si>
    <t>Xavier</t>
  </si>
  <si>
    <t>Eric</t>
  </si>
  <si>
    <t>Tasha</t>
  </si>
  <si>
    <t>Natevea</t>
  </si>
  <si>
    <t>Diego</t>
  </si>
  <si>
    <t>Ruben</t>
  </si>
  <si>
    <t>Md</t>
  </si>
  <si>
    <t>Tara</t>
  </si>
  <si>
    <t>Gary</t>
  </si>
  <si>
    <t>Daneil</t>
  </si>
  <si>
    <t>Selena</t>
  </si>
  <si>
    <t>Latoya</t>
  </si>
  <si>
    <t>Bienvenida</t>
  </si>
  <si>
    <t>Roberto</t>
  </si>
  <si>
    <t>Lorna</t>
  </si>
  <si>
    <t>Kerima</t>
  </si>
  <si>
    <t>Nathaniel</t>
  </si>
  <si>
    <t>Quincy</t>
  </si>
  <si>
    <t>Narisha</t>
  </si>
  <si>
    <t>Mohamed</t>
  </si>
  <si>
    <t>Socorro</t>
  </si>
  <si>
    <t>Tyree</t>
  </si>
  <si>
    <t>Juliana</t>
  </si>
  <si>
    <t>Shaniqua</t>
  </si>
  <si>
    <t>Shania</t>
  </si>
  <si>
    <t>Sachet</t>
  </si>
  <si>
    <t>Dzhulyeta</t>
  </si>
  <si>
    <t>Tatyana</t>
  </si>
  <si>
    <t>Jeannette</t>
  </si>
  <si>
    <t>Dorian</t>
  </si>
  <si>
    <t>Guadalupe</t>
  </si>
  <si>
    <t>Ritza</t>
  </si>
  <si>
    <t>Zulma</t>
  </si>
  <si>
    <t>Lela</t>
  </si>
  <si>
    <t>Annette</t>
  </si>
  <si>
    <t>Yudy</t>
  </si>
  <si>
    <t>Cindy</t>
  </si>
  <si>
    <t>Rupnarine</t>
  </si>
  <si>
    <t>Haydee</t>
  </si>
  <si>
    <t>Tamara</t>
  </si>
  <si>
    <t>Eunice</t>
  </si>
  <si>
    <t>Chellisa</t>
  </si>
  <si>
    <t>Judith</t>
  </si>
  <si>
    <t>Arturo</t>
  </si>
  <si>
    <t>Dennis</t>
  </si>
  <si>
    <t>Miriam</t>
  </si>
  <si>
    <t>Dante</t>
  </si>
  <si>
    <t>Segundo</t>
  </si>
  <si>
    <t>Mary</t>
  </si>
  <si>
    <t>Naomi</t>
  </si>
  <si>
    <t>Anila</t>
  </si>
  <si>
    <t>Dawn</t>
  </si>
  <si>
    <t>Sara</t>
  </si>
  <si>
    <t>Letty</t>
  </si>
  <si>
    <t>Ana</t>
  </si>
  <si>
    <t>America</t>
  </si>
  <si>
    <t>Angelina</t>
  </si>
  <si>
    <t>Huang You</t>
  </si>
  <si>
    <t>Earl</t>
  </si>
  <si>
    <t>Seon</t>
  </si>
  <si>
    <t>Eugene</t>
  </si>
  <si>
    <t>Lisselot</t>
  </si>
  <si>
    <t>Gina</t>
  </si>
  <si>
    <t>Shameeka</t>
  </si>
  <si>
    <t>Edna</t>
  </si>
  <si>
    <t>Shaunell</t>
  </si>
  <si>
    <t>Maor</t>
  </si>
  <si>
    <t>Tajae</t>
  </si>
  <si>
    <t>Shanin</t>
  </si>
  <si>
    <t>Jonnathan</t>
  </si>
  <si>
    <t>Vanessa</t>
  </si>
  <si>
    <t>Jasmine</t>
  </si>
  <si>
    <t>Moses</t>
  </si>
  <si>
    <t>Mary Ann</t>
  </si>
  <si>
    <t>Marilyn</t>
  </si>
  <si>
    <t>Alma</t>
  </si>
  <si>
    <t>Anuschja</t>
  </si>
  <si>
    <t>Maha</t>
  </si>
  <si>
    <t>Tashana</t>
  </si>
  <si>
    <t>Dionne</t>
  </si>
  <si>
    <t>Marisela</t>
  </si>
  <si>
    <t>Marlette</t>
  </si>
  <si>
    <t>Paree</t>
  </si>
  <si>
    <t>Lucia</t>
  </si>
  <si>
    <t>Sharleen</t>
  </si>
  <si>
    <t>Murielle</t>
  </si>
  <si>
    <t>Frank</t>
  </si>
  <si>
    <t>Brian</t>
  </si>
  <si>
    <t>Madeline</t>
  </si>
  <si>
    <t>Sabrina</t>
  </si>
  <si>
    <t>Zorina</t>
  </si>
  <si>
    <t>Jaidi</t>
  </si>
  <si>
    <t>Clarice</t>
  </si>
  <si>
    <t>Grace</t>
  </si>
  <si>
    <t>Francisco</t>
  </si>
  <si>
    <t>Akina</t>
  </si>
  <si>
    <t>Seorie</t>
  </si>
  <si>
    <t>Lakisha</t>
  </si>
  <si>
    <t>Baldev</t>
  </si>
  <si>
    <t>Queyen</t>
  </si>
  <si>
    <t>Allysa</t>
  </si>
  <si>
    <t>Iman</t>
  </si>
  <si>
    <t>Andrea</t>
  </si>
  <si>
    <t>Frances</t>
  </si>
  <si>
    <t>Gloria</t>
  </si>
  <si>
    <t>Liza</t>
  </si>
  <si>
    <t>Mahnaz</t>
  </si>
  <si>
    <t>Mama</t>
  </si>
  <si>
    <t>Aurelia</t>
  </si>
  <si>
    <t>Gregory</t>
  </si>
  <si>
    <t>Laura</t>
  </si>
  <si>
    <t>Migdalia</t>
  </si>
  <si>
    <t>Juan</t>
  </si>
  <si>
    <t>HIRAM</t>
  </si>
  <si>
    <t>Milton</t>
  </si>
  <si>
    <t>Tarshema</t>
  </si>
  <si>
    <t>Kamille</t>
  </si>
  <si>
    <t>Dwayne</t>
  </si>
  <si>
    <t>Katherine</t>
  </si>
  <si>
    <t>Katerina</t>
  </si>
  <si>
    <t>Benson</t>
  </si>
  <si>
    <t>Khadiza</t>
  </si>
  <si>
    <t>Chaddean</t>
  </si>
  <si>
    <t>Aura</t>
  </si>
  <si>
    <t>Anneish</t>
  </si>
  <si>
    <t>Jorge</t>
  </si>
  <si>
    <t>Syeda</t>
  </si>
  <si>
    <t>Jean-Baptiste</t>
  </si>
  <si>
    <t>Giselle</t>
  </si>
  <si>
    <t>Morena</t>
  </si>
  <si>
    <t>Alan</t>
  </si>
  <si>
    <t>Geovanny</t>
  </si>
  <si>
    <t>Geraldine</t>
  </si>
  <si>
    <t>Jamange</t>
  </si>
  <si>
    <t>Davonne</t>
  </si>
  <si>
    <t>Raul</t>
  </si>
  <si>
    <t>Sirajul</t>
  </si>
  <si>
    <t>Pandora</t>
  </si>
  <si>
    <t>Aziza</t>
  </si>
  <si>
    <t>Kiesha</t>
  </si>
  <si>
    <t>Kenyetta</t>
  </si>
  <si>
    <t>Meite</t>
  </si>
  <si>
    <t>Davonae</t>
  </si>
  <si>
    <t>Fiona</t>
  </si>
  <si>
    <t>Arbia</t>
  </si>
  <si>
    <t>Emilia</t>
  </si>
  <si>
    <t>Mariela</t>
  </si>
  <si>
    <t>Rebecca</t>
  </si>
  <si>
    <t>Paul</t>
  </si>
  <si>
    <t>Edwin</t>
  </si>
  <si>
    <t>Leesa</t>
  </si>
  <si>
    <t>Ross</t>
  </si>
  <si>
    <t>Janiene</t>
  </si>
  <si>
    <t>Shanoya</t>
  </si>
  <si>
    <t>Elsy</t>
  </si>
  <si>
    <t>Makia</t>
  </si>
  <si>
    <t>Riolesty</t>
  </si>
  <si>
    <t>Hao Ran</t>
  </si>
  <si>
    <t>Zonelle</t>
  </si>
  <si>
    <t>Jason</t>
  </si>
  <si>
    <t>Beenu</t>
  </si>
  <si>
    <t>Neila</t>
  </si>
  <si>
    <t>Lillian</t>
  </si>
  <si>
    <t>Loriane</t>
  </si>
  <si>
    <t>Daniel</t>
  </si>
  <si>
    <t>Miasia</t>
  </si>
  <si>
    <t>Uma</t>
  </si>
  <si>
    <t>Kuabes</t>
  </si>
  <si>
    <t>Dorothea</t>
  </si>
  <si>
    <t>Nargiza</t>
  </si>
  <si>
    <t>Nykoli</t>
  </si>
  <si>
    <t>Michelle</t>
  </si>
  <si>
    <t>Abraham</t>
  </si>
  <si>
    <t>Florentina</t>
  </si>
  <si>
    <t>Rosemarie</t>
  </si>
  <si>
    <t>Germaine</t>
  </si>
  <si>
    <t>Darliana</t>
  </si>
  <si>
    <t>Erinson</t>
  </si>
  <si>
    <t>Nadeen</t>
  </si>
  <si>
    <t>Isbeli</t>
  </si>
  <si>
    <t>Didgeral</t>
  </si>
  <si>
    <t>Danamarie</t>
  </si>
  <si>
    <t>Natalia</t>
  </si>
  <si>
    <t>Susie</t>
  </si>
  <si>
    <t>Monika</t>
  </si>
  <si>
    <t>Benjamin</t>
  </si>
  <si>
    <t>Ada</t>
  </si>
  <si>
    <t>Juanita</t>
  </si>
  <si>
    <t>Todd</t>
  </si>
  <si>
    <t>Abir</t>
  </si>
  <si>
    <t>Betty</t>
  </si>
  <si>
    <t>Ariel</t>
  </si>
  <si>
    <t>Itzhra</t>
  </si>
  <si>
    <t>Christine</t>
  </si>
  <si>
    <t>Barbara</t>
  </si>
  <si>
    <t>Marcus</t>
  </si>
  <si>
    <t>Raymond</t>
  </si>
  <si>
    <t>Salina</t>
  </si>
  <si>
    <t>Rafael</t>
  </si>
  <si>
    <t>June</t>
  </si>
  <si>
    <t>Irene</t>
  </si>
  <si>
    <t>Alonzo</t>
  </si>
  <si>
    <t>Lloyd</t>
  </si>
  <si>
    <t>Raquel</t>
  </si>
  <si>
    <t>Yelitza</t>
  </si>
  <si>
    <t>Rosio</t>
  </si>
  <si>
    <t>Janith</t>
  </si>
  <si>
    <t>Julian</t>
  </si>
  <si>
    <t>Noah</t>
  </si>
  <si>
    <t>Rashader</t>
  </si>
  <si>
    <t>Cristina</t>
  </si>
  <si>
    <t>Roland</t>
  </si>
  <si>
    <t>Sybil</t>
  </si>
  <si>
    <t>Hosnahara</t>
  </si>
  <si>
    <t>Victoria</t>
  </si>
  <si>
    <t>Ameer</t>
  </si>
  <si>
    <t>Felipa</t>
  </si>
  <si>
    <t>Santa</t>
  </si>
  <si>
    <t>Eduardo</t>
  </si>
  <si>
    <t>Shu</t>
  </si>
  <si>
    <t>Guang Yi</t>
  </si>
  <si>
    <t>Jeanne</t>
  </si>
  <si>
    <t>Suzanne</t>
  </si>
  <si>
    <t>Hannan</t>
  </si>
  <si>
    <t>Eli</t>
  </si>
  <si>
    <t>Nadine</t>
  </si>
  <si>
    <t>Paris</t>
  </si>
  <si>
    <t>Anna</t>
  </si>
  <si>
    <t>Kostas</t>
  </si>
  <si>
    <t>Mayerlin</t>
  </si>
  <si>
    <t>Nakia</t>
  </si>
  <si>
    <t>Tashae</t>
  </si>
  <si>
    <t>Devin</t>
  </si>
  <si>
    <t>Natisha</t>
  </si>
  <si>
    <t>Evelyn</t>
  </si>
  <si>
    <t>Dominiqua</t>
  </si>
  <si>
    <t>Wayne</t>
  </si>
  <si>
    <t>Kingsley</t>
  </si>
  <si>
    <t>Nalini</t>
  </si>
  <si>
    <t>Xinglian</t>
  </si>
  <si>
    <t>Aurea</t>
  </si>
  <si>
    <t>Zhi</t>
  </si>
  <si>
    <t>Angela</t>
  </si>
  <si>
    <t>Alleanna</t>
  </si>
  <si>
    <t>Hector</t>
  </si>
  <si>
    <t>Minoru</t>
  </si>
  <si>
    <t>XiaoXia</t>
  </si>
  <si>
    <t>Andreniki</t>
  </si>
  <si>
    <t>Loveena</t>
  </si>
  <si>
    <t>Bashira</t>
  </si>
  <si>
    <t>Chaiti</t>
  </si>
  <si>
    <t>Anat</t>
  </si>
  <si>
    <t>Yvonne</t>
  </si>
  <si>
    <t>Ramdai</t>
  </si>
  <si>
    <t>Assial</t>
  </si>
  <si>
    <t>Colleen</t>
  </si>
  <si>
    <t>Thea</t>
  </si>
  <si>
    <t>Souher</t>
  </si>
  <si>
    <t>Flor</t>
  </si>
  <si>
    <t>Tieasha</t>
  </si>
  <si>
    <t>Nicholas</t>
  </si>
  <si>
    <t>Justice</t>
  </si>
  <si>
    <t>Francia</t>
  </si>
  <si>
    <t>Enrique</t>
  </si>
  <si>
    <t>Amanda</t>
  </si>
  <si>
    <t>Eugenio</t>
  </si>
  <si>
    <t>Keesha</t>
  </si>
  <si>
    <t>Dario</t>
  </si>
  <si>
    <t>Sun</t>
  </si>
  <si>
    <t>Annabel</t>
  </si>
  <si>
    <t>Priscilla</t>
  </si>
  <si>
    <t>Carlene Caretta</t>
  </si>
  <si>
    <t>Sasha</t>
  </si>
  <si>
    <t>Estela</t>
  </si>
  <si>
    <t>Yoonduk</t>
  </si>
  <si>
    <t>Soon Ja</t>
  </si>
  <si>
    <t>Tahir</t>
  </si>
  <si>
    <t>Sharmila</t>
  </si>
  <si>
    <t>Un Chu</t>
  </si>
  <si>
    <t>XueYun</t>
  </si>
  <si>
    <t>Tasheena</t>
  </si>
  <si>
    <t>Erica</t>
  </si>
  <si>
    <t>Justin</t>
  </si>
  <si>
    <t>Ruth</t>
  </si>
  <si>
    <t>Mahim</t>
  </si>
  <si>
    <t>Kenia</t>
  </si>
  <si>
    <t>Qamar</t>
  </si>
  <si>
    <t>Eduard</t>
  </si>
  <si>
    <t>Krystal</t>
  </si>
  <si>
    <t>Boung</t>
  </si>
  <si>
    <t>Turna</t>
  </si>
  <si>
    <t>Kazimierz</t>
  </si>
  <si>
    <t>Joseph</t>
  </si>
  <si>
    <t>Caroline</t>
  </si>
  <si>
    <t>Samantha</t>
  </si>
  <si>
    <t>Anne</t>
  </si>
  <si>
    <t>Rodney</t>
  </si>
  <si>
    <t>Ana Maria</t>
  </si>
  <si>
    <t>Krzysztof</t>
  </si>
  <si>
    <t>Florence</t>
  </si>
  <si>
    <t>Adolph</t>
  </si>
  <si>
    <t>Cardel</t>
  </si>
  <si>
    <t>Nadia</t>
  </si>
  <si>
    <t>Yris</t>
  </si>
  <si>
    <t>Ahmet</t>
  </si>
  <si>
    <t>Adrian</t>
  </si>
  <si>
    <t>Vinessa</t>
  </si>
  <si>
    <t>Iliana</t>
  </si>
  <si>
    <t>Miranda</t>
  </si>
  <si>
    <t>Glennis</t>
  </si>
  <si>
    <t>Ximena</t>
  </si>
  <si>
    <t>Erin</t>
  </si>
  <si>
    <t>Kasha</t>
  </si>
  <si>
    <t>Charlie</t>
  </si>
  <si>
    <t>Martie</t>
  </si>
  <si>
    <t>Shamika</t>
  </si>
  <si>
    <t>Nina</t>
  </si>
  <si>
    <t>Soon</t>
  </si>
  <si>
    <t>Rajue</t>
  </si>
  <si>
    <t>Amy</t>
  </si>
  <si>
    <t>Inez</t>
  </si>
  <si>
    <t>Diana</t>
  </si>
  <si>
    <t>Clarise</t>
  </si>
  <si>
    <t>Karina</t>
  </si>
  <si>
    <t>Afaz</t>
  </si>
  <si>
    <t>Christol</t>
  </si>
  <si>
    <t>Marnie</t>
  </si>
  <si>
    <t>Kerrick</t>
  </si>
  <si>
    <t>Alexandria</t>
  </si>
  <si>
    <t>Kelly</t>
  </si>
  <si>
    <t>Yesenia</t>
  </si>
  <si>
    <t>Genova</t>
  </si>
  <si>
    <t>Marc</t>
  </si>
  <si>
    <t>Rahim</t>
  </si>
  <si>
    <t>Kathryn</t>
  </si>
  <si>
    <t>Tye</t>
  </si>
  <si>
    <t>Amber</t>
  </si>
  <si>
    <t>Erenia</t>
  </si>
  <si>
    <t>Mildred</t>
  </si>
  <si>
    <t>Yoke Mei</t>
  </si>
  <si>
    <t>Zinorah</t>
  </si>
  <si>
    <t>Antoine</t>
  </si>
  <si>
    <t>YouMin</t>
  </si>
  <si>
    <t>Woodiana</t>
  </si>
  <si>
    <t>Jeffrey</t>
  </si>
  <si>
    <t>Randolph</t>
  </si>
  <si>
    <t>Maisah</t>
  </si>
  <si>
    <t>Angella</t>
  </si>
  <si>
    <t>Wyman</t>
  </si>
  <si>
    <t>Angelo</t>
  </si>
  <si>
    <t>Mikhial</t>
  </si>
  <si>
    <t>Kashoo</t>
  </si>
  <si>
    <t>Shamim</t>
  </si>
  <si>
    <t>Channel</t>
  </si>
  <si>
    <t>Hong</t>
  </si>
  <si>
    <t>Nurun</t>
  </si>
  <si>
    <t>Claudette</t>
  </si>
  <si>
    <t>Valerie</t>
  </si>
  <si>
    <t>Yolanda</t>
  </si>
  <si>
    <t>Mireille</t>
  </si>
  <si>
    <t>Hilda</t>
  </si>
  <si>
    <t>Lina</t>
  </si>
  <si>
    <t>Suraya</t>
  </si>
  <si>
    <t>Dana</t>
  </si>
  <si>
    <t>Hussein</t>
  </si>
  <si>
    <t>Hajar</t>
  </si>
  <si>
    <t>Mireya</t>
  </si>
  <si>
    <t>Carissa</t>
  </si>
  <si>
    <t>Donnelle</t>
  </si>
  <si>
    <t>Kalifa</t>
  </si>
  <si>
    <t>Margareth</t>
  </si>
  <si>
    <t>Fabiola</t>
  </si>
  <si>
    <t>Marious</t>
  </si>
  <si>
    <t>Sanchez</t>
  </si>
  <si>
    <t>Shantel</t>
  </si>
  <si>
    <t>Dilara</t>
  </si>
  <si>
    <t>Hema</t>
  </si>
  <si>
    <t>Emily</t>
  </si>
  <si>
    <t>Tekera</t>
  </si>
  <si>
    <t>Wilma</t>
  </si>
  <si>
    <t>Jack</t>
  </si>
  <si>
    <t>Federica</t>
  </si>
  <si>
    <t>Valeria</t>
  </si>
  <si>
    <t>Kemberlin</t>
  </si>
  <si>
    <t>Sandy</t>
  </si>
  <si>
    <t>Rukhma</t>
  </si>
  <si>
    <t>Leanna</t>
  </si>
  <si>
    <t>Kameika</t>
  </si>
  <si>
    <t>Sonia</t>
  </si>
  <si>
    <t>Tanisha</t>
  </si>
  <si>
    <t>Tyisha</t>
  </si>
  <si>
    <t>Bhanmattie</t>
  </si>
  <si>
    <t>Argentina</t>
  </si>
  <si>
    <t>Najat</t>
  </si>
  <si>
    <t>Roy</t>
  </si>
  <si>
    <t>Lisa</t>
  </si>
  <si>
    <t>Shawn</t>
  </si>
  <si>
    <t>Shiniqua</t>
  </si>
  <si>
    <t>Anacelia</t>
  </si>
  <si>
    <t>Elvira</t>
  </si>
  <si>
    <t>Georgia</t>
  </si>
  <si>
    <t>Stewart</t>
  </si>
  <si>
    <t>Derrick</t>
  </si>
  <si>
    <t>Adel</t>
  </si>
  <si>
    <t>Ahmed</t>
  </si>
  <si>
    <t>Ellis</t>
  </si>
  <si>
    <t>Pursotham</t>
  </si>
  <si>
    <t>Elka</t>
  </si>
  <si>
    <t>Devona</t>
  </si>
  <si>
    <t>Kenji</t>
  </si>
  <si>
    <t>Orian</t>
  </si>
  <si>
    <t>Gul</t>
  </si>
  <si>
    <t>Omayra</t>
  </si>
  <si>
    <t>LaKeisha</t>
  </si>
  <si>
    <t>Iftikhar</t>
  </si>
  <si>
    <t>Abigail</t>
  </si>
  <si>
    <t>Mirbahar</t>
  </si>
  <si>
    <t>Sacha</t>
  </si>
  <si>
    <t>Xiaoyu</t>
  </si>
  <si>
    <t>Ralph</t>
  </si>
  <si>
    <t>Zelda</t>
  </si>
  <si>
    <t>Ely</t>
  </si>
  <si>
    <t>Atisha</t>
  </si>
  <si>
    <t>Jessica</t>
  </si>
  <si>
    <t>Mbosowo</t>
  </si>
  <si>
    <t>Shantelle</t>
  </si>
  <si>
    <t>Yoalia</t>
  </si>
  <si>
    <t>Shameka</t>
  </si>
  <si>
    <t>Mei Ying</t>
  </si>
  <si>
    <t>Patryce</t>
  </si>
  <si>
    <t>Beatriz</t>
  </si>
  <si>
    <t>Romeyra</t>
  </si>
  <si>
    <t>Maritsa</t>
  </si>
  <si>
    <t>Daisy</t>
  </si>
  <si>
    <t>Jeremy</t>
  </si>
  <si>
    <t>Xiomara</t>
  </si>
  <si>
    <t>Hylene</t>
  </si>
  <si>
    <t>Priea</t>
  </si>
  <si>
    <t>Johanna</t>
  </si>
  <si>
    <t>Mario</t>
  </si>
  <si>
    <t>Jarvis</t>
  </si>
  <si>
    <t>Irina</t>
  </si>
  <si>
    <t>Nadira</t>
  </si>
  <si>
    <t>Ayesha</t>
  </si>
  <si>
    <t>Alexis</t>
  </si>
  <si>
    <t>Evette</t>
  </si>
  <si>
    <t>Fernando</t>
  </si>
  <si>
    <t>Mohomad</t>
  </si>
  <si>
    <t>Villanzaca</t>
  </si>
  <si>
    <t>Shahzad</t>
  </si>
  <si>
    <t>Sharrise</t>
  </si>
  <si>
    <t>Lakeresha</t>
  </si>
  <si>
    <t>Shena</t>
  </si>
  <si>
    <t>Francy</t>
  </si>
  <si>
    <t>Wing</t>
  </si>
  <si>
    <t>Myrna</t>
  </si>
  <si>
    <t>Abdul</t>
  </si>
  <si>
    <t>Ines</t>
  </si>
  <si>
    <t>Hesham</t>
  </si>
  <si>
    <t>Xiaozhen</t>
  </si>
  <si>
    <t>Mustapha</t>
  </si>
  <si>
    <t>Elias</t>
  </si>
  <si>
    <t>Alais</t>
  </si>
  <si>
    <t>Tahina</t>
  </si>
  <si>
    <t>Tanya</t>
  </si>
  <si>
    <t>Renne</t>
  </si>
  <si>
    <t>Adil</t>
  </si>
  <si>
    <t>Muhammad</t>
  </si>
  <si>
    <t>Kirsys</t>
  </si>
  <si>
    <t>Cory</t>
  </si>
  <si>
    <t>Melissa</t>
  </si>
  <si>
    <t>Indra</t>
  </si>
  <si>
    <t>Vilma</t>
  </si>
  <si>
    <t>Crystle</t>
  </si>
  <si>
    <t>Ivory</t>
  </si>
  <si>
    <t>Viviana</t>
  </si>
  <si>
    <t>Belina</t>
  </si>
  <si>
    <t>Isabelita</t>
  </si>
  <si>
    <t>Mona</t>
  </si>
  <si>
    <t>Celestina</t>
  </si>
  <si>
    <t>Tony</t>
  </si>
  <si>
    <t>Louette</t>
  </si>
  <si>
    <t>Huberto</t>
  </si>
  <si>
    <t>Elaine</t>
  </si>
  <si>
    <t>Salvatore</t>
  </si>
  <si>
    <t>Havelet</t>
  </si>
  <si>
    <t>Barakate</t>
  </si>
  <si>
    <t>Antonai</t>
  </si>
  <si>
    <t>Shaunice</t>
  </si>
  <si>
    <t>Courtney</t>
  </si>
  <si>
    <t>Deana</t>
  </si>
  <si>
    <t>Jaime</t>
  </si>
  <si>
    <t>Shanequa</t>
  </si>
  <si>
    <t>Gabriela</t>
  </si>
  <si>
    <t>Nathalye</t>
  </si>
  <si>
    <t>Karla</t>
  </si>
  <si>
    <t>Hope</t>
  </si>
  <si>
    <t>Leah</t>
  </si>
  <si>
    <t>Cherie</t>
  </si>
  <si>
    <t>Anatolie</t>
  </si>
  <si>
    <t>Basma</t>
  </si>
  <si>
    <t>Joslyn</t>
  </si>
  <si>
    <t>Tina</t>
  </si>
  <si>
    <t>Charisma</t>
  </si>
  <si>
    <t>Laurie</t>
  </si>
  <si>
    <t>Luisa</t>
  </si>
  <si>
    <t>Damaris</t>
  </si>
  <si>
    <t>Tamesha</t>
  </si>
  <si>
    <t>Louvenia</t>
  </si>
  <si>
    <t>Lynette</t>
  </si>
  <si>
    <t>Roza</t>
  </si>
  <si>
    <t>Seelochnie</t>
  </si>
  <si>
    <t>Drupattie</t>
  </si>
  <si>
    <t>Renee</t>
  </si>
  <si>
    <t>Neil</t>
  </si>
  <si>
    <t>Paulette</t>
  </si>
  <si>
    <t>Fatimetou</t>
  </si>
  <si>
    <t>Jane</t>
  </si>
  <si>
    <t>Stacey</t>
  </si>
  <si>
    <t>Marla</t>
  </si>
  <si>
    <t>Sandra</t>
  </si>
  <si>
    <t>Orel</t>
  </si>
  <si>
    <t>Esmail</t>
  </si>
  <si>
    <t>Liz</t>
  </si>
  <si>
    <t>DeCarlos</t>
  </si>
  <si>
    <t>Ligia</t>
  </si>
  <si>
    <t>Angelia</t>
  </si>
  <si>
    <t>candy</t>
  </si>
  <si>
    <t>Candy</t>
  </si>
  <si>
    <t>Manuel</t>
  </si>
  <si>
    <t>Delores</t>
  </si>
  <si>
    <t>Kawana</t>
  </si>
  <si>
    <t>Karen</t>
  </si>
  <si>
    <t>Galina</t>
  </si>
  <si>
    <t>Colin</t>
  </si>
  <si>
    <t>Cecilia</t>
  </si>
  <si>
    <t>Mowata</t>
  </si>
  <si>
    <t>Clara</t>
  </si>
  <si>
    <t>Vicente</t>
  </si>
  <si>
    <t>Yunilda</t>
  </si>
  <si>
    <t>Moyosore</t>
  </si>
  <si>
    <t>Elza</t>
  </si>
  <si>
    <t>Nick</t>
  </si>
  <si>
    <t>Bruce</t>
  </si>
  <si>
    <t>Albin</t>
  </si>
  <si>
    <t>Dallan</t>
  </si>
  <si>
    <t>Chaitali</t>
  </si>
  <si>
    <t>Lanette</t>
  </si>
  <si>
    <t>Virginia</t>
  </si>
  <si>
    <t>Sharif</t>
  </si>
  <si>
    <t>Jeimy</t>
  </si>
  <si>
    <t>Ernie</t>
  </si>
  <si>
    <t>Jaleel</t>
  </si>
  <si>
    <t>Shawna</t>
  </si>
  <si>
    <t>Sirrhan</t>
  </si>
  <si>
    <t>Marhta</t>
  </si>
  <si>
    <t>Mike</t>
  </si>
  <si>
    <t>Ashok</t>
  </si>
  <si>
    <t>Edgar</t>
  </si>
  <si>
    <t>Paula</t>
  </si>
  <si>
    <t>Horacio</t>
  </si>
  <si>
    <t>Shondell</t>
  </si>
  <si>
    <t>Breina</t>
  </si>
  <si>
    <t>Nichole</t>
  </si>
  <si>
    <t>Nersida</t>
  </si>
  <si>
    <t>Korwin</t>
  </si>
  <si>
    <t>Vernon</t>
  </si>
  <si>
    <t>Angelica</t>
  </si>
  <si>
    <t>Katia</t>
  </si>
  <si>
    <t>Abisola</t>
  </si>
  <si>
    <t>Kesha</t>
  </si>
  <si>
    <t>Dashee</t>
  </si>
  <si>
    <t>Takisha</t>
  </si>
  <si>
    <t>Sarojanie</t>
  </si>
  <si>
    <t>Kavita</t>
  </si>
  <si>
    <t>Trisha</t>
  </si>
  <si>
    <t>Dijon</t>
  </si>
  <si>
    <t>Yrma</t>
  </si>
  <si>
    <t>Frederick</t>
  </si>
  <si>
    <t>Xiao Hui</t>
  </si>
  <si>
    <t>Heba</t>
  </si>
  <si>
    <t>Alexander</t>
  </si>
  <si>
    <t>Moulay</t>
  </si>
  <si>
    <t>Chaka</t>
  </si>
  <si>
    <t>Esperanza</t>
  </si>
  <si>
    <t>Latishia</t>
  </si>
  <si>
    <t>Acacios</t>
  </si>
  <si>
    <t>Olga</t>
  </si>
  <si>
    <t>Salwa</t>
  </si>
  <si>
    <t>Claribell</t>
  </si>
  <si>
    <t>Dulcelina</t>
  </si>
  <si>
    <t>Reina</t>
  </si>
  <si>
    <t>Luz</t>
  </si>
  <si>
    <t>Theodore</t>
  </si>
  <si>
    <t>Carolynn</t>
  </si>
  <si>
    <t>Codou</t>
  </si>
  <si>
    <t>Ramon</t>
  </si>
  <si>
    <t>Dain</t>
  </si>
  <si>
    <t>Rigoberto</t>
  </si>
  <si>
    <t>Arthur</t>
  </si>
  <si>
    <t>Tuvyah</t>
  </si>
  <si>
    <t>Zeraniah</t>
  </si>
  <si>
    <t>Deisy</t>
  </si>
  <si>
    <t>Danielle</t>
  </si>
  <si>
    <t>Quantavia</t>
  </si>
  <si>
    <t>Davinah</t>
  </si>
  <si>
    <t>Inocencio</t>
  </si>
  <si>
    <t>Nancy</t>
  </si>
  <si>
    <t>Doreen</t>
  </si>
  <si>
    <t>Merdan</t>
  </si>
  <si>
    <t>Afua</t>
  </si>
  <si>
    <t>Jesus</t>
  </si>
  <si>
    <t>Ella</t>
  </si>
  <si>
    <t>Michele</t>
  </si>
  <si>
    <t>Charline</t>
  </si>
  <si>
    <t>Idaly</t>
  </si>
  <si>
    <t>Ali</t>
  </si>
  <si>
    <t>Miguel</t>
  </si>
  <si>
    <t>Champa</t>
  </si>
  <si>
    <t>Ingrid</t>
  </si>
  <si>
    <t>Rosabel</t>
  </si>
  <si>
    <t>Tannecia</t>
  </si>
  <si>
    <t>Trilbie</t>
  </si>
  <si>
    <t>Aisha</t>
  </si>
  <si>
    <t>Vertell</t>
  </si>
  <si>
    <t>Tyeaste</t>
  </si>
  <si>
    <t>Leon</t>
  </si>
  <si>
    <t>Lauren</t>
  </si>
  <si>
    <t>Alasia</t>
  </si>
  <si>
    <t>Nandanie</t>
  </si>
  <si>
    <t>Darlene</t>
  </si>
  <si>
    <t>Emely</t>
  </si>
  <si>
    <t>Wajana</t>
  </si>
  <si>
    <t>Bibi</t>
  </si>
  <si>
    <t>Alissa</t>
  </si>
  <si>
    <t>Victor</t>
  </si>
  <si>
    <t>Julia</t>
  </si>
  <si>
    <t>AYDA</t>
  </si>
  <si>
    <t>Ayman</t>
  </si>
  <si>
    <t>Gustavo</t>
  </si>
  <si>
    <t>Shantal</t>
  </si>
  <si>
    <t>Dipsy</t>
  </si>
  <si>
    <t>Marieline</t>
  </si>
  <si>
    <t>Agustin</t>
  </si>
  <si>
    <t>Uriel</t>
  </si>
  <si>
    <t>Axel</t>
  </si>
  <si>
    <t>Sieudath</t>
  </si>
  <si>
    <t>Ann</t>
  </si>
  <si>
    <t>Abu</t>
  </si>
  <si>
    <t>Francis</t>
  </si>
  <si>
    <t>Khalilah</t>
  </si>
  <si>
    <t>Mycolle</t>
  </si>
  <si>
    <t>Philip</t>
  </si>
  <si>
    <t>Raju</t>
  </si>
  <si>
    <t>Silvia</t>
  </si>
  <si>
    <t>Alfred</t>
  </si>
  <si>
    <t>Lesa</t>
  </si>
  <si>
    <t>Tonya</t>
  </si>
  <si>
    <t>SHerry</t>
  </si>
  <si>
    <t>Aneka</t>
  </si>
  <si>
    <t>Billie Jo</t>
  </si>
  <si>
    <t>Andreen</t>
  </si>
  <si>
    <t>Wendy</t>
  </si>
  <si>
    <t>Rocio</t>
  </si>
  <si>
    <t>Dalia</t>
  </si>
  <si>
    <t>Angie</t>
  </si>
  <si>
    <t>Taj</t>
  </si>
  <si>
    <t>Ursula</t>
  </si>
  <si>
    <t>Nabila</t>
  </si>
  <si>
    <t>Belva</t>
  </si>
  <si>
    <t>Diamond</t>
  </si>
  <si>
    <t>Rhonda</t>
  </si>
  <si>
    <t>Imen</t>
  </si>
  <si>
    <t>Eva</t>
  </si>
  <si>
    <t>Mera</t>
  </si>
  <si>
    <t>Tangerina</t>
  </si>
  <si>
    <t>Musammet</t>
  </si>
  <si>
    <t>Sheri</t>
  </si>
  <si>
    <t>moinuddin</t>
  </si>
  <si>
    <t>Cedric</t>
  </si>
  <si>
    <t>Mervin</t>
  </si>
  <si>
    <t>Nettie</t>
  </si>
  <si>
    <t>Zoila</t>
  </si>
  <si>
    <t>Zenaida</t>
  </si>
  <si>
    <t>Love</t>
  </si>
  <si>
    <t>Elisa</t>
  </si>
  <si>
    <t>Pablo</t>
  </si>
  <si>
    <t>Natacha</t>
  </si>
  <si>
    <t>Carice</t>
  </si>
  <si>
    <t>Concepcion</t>
  </si>
  <si>
    <t>Ghislaine</t>
  </si>
  <si>
    <t>Kerryann</t>
  </si>
  <si>
    <t>Compton</t>
  </si>
  <si>
    <t>Sugeidy</t>
  </si>
  <si>
    <t>Gricell Stephanie</t>
  </si>
  <si>
    <t>Desean</t>
  </si>
  <si>
    <t>Natashia</t>
  </si>
  <si>
    <t>Latchmin</t>
  </si>
  <si>
    <t>Shyrone</t>
  </si>
  <si>
    <t>Andre Carl</t>
  </si>
  <si>
    <t>Adiba</t>
  </si>
  <si>
    <t>Nathan</t>
  </si>
  <si>
    <t>Dominique</t>
  </si>
  <si>
    <t>JODI</t>
  </si>
  <si>
    <t>Draydelisse</t>
  </si>
  <si>
    <t>Georgette</t>
  </si>
  <si>
    <t>Isabel</t>
  </si>
  <si>
    <t>Hansy</t>
  </si>
  <si>
    <t>Deliah</t>
  </si>
  <si>
    <t>Florinda</t>
  </si>
  <si>
    <t>Nedra</t>
  </si>
  <si>
    <t>Guito</t>
  </si>
  <si>
    <t>Vidya</t>
  </si>
  <si>
    <t>Tawanna</t>
  </si>
  <si>
    <t>Trina</t>
  </si>
  <si>
    <t>Marjorie</t>
  </si>
  <si>
    <t>Maleka</t>
  </si>
  <si>
    <t>Gamadiel</t>
  </si>
  <si>
    <t>Valentyn</t>
  </si>
  <si>
    <t>Linette</t>
  </si>
  <si>
    <t>Josefina</t>
  </si>
  <si>
    <t>Alex</t>
  </si>
  <si>
    <t>Sangita</t>
  </si>
  <si>
    <t>Shaun</t>
  </si>
  <si>
    <t>Girleene</t>
  </si>
  <si>
    <t>Larisa</t>
  </si>
  <si>
    <t>Kirkland</t>
  </si>
  <si>
    <t>Bynes</t>
  </si>
  <si>
    <t>Rivers</t>
  </si>
  <si>
    <t>Ishrie</t>
  </si>
  <si>
    <t>Desmarias</t>
  </si>
  <si>
    <t>Gubler</t>
  </si>
  <si>
    <t>Altamirano</t>
  </si>
  <si>
    <t>Freer</t>
  </si>
  <si>
    <t>Mashriqi</t>
  </si>
  <si>
    <t>Cardenales</t>
  </si>
  <si>
    <t>James Rice</t>
  </si>
  <si>
    <t>Rodriguez</t>
  </si>
  <si>
    <t>Stalling</t>
  </si>
  <si>
    <t>Toribio</t>
  </si>
  <si>
    <t>Olivero</t>
  </si>
  <si>
    <t>Vargas</t>
  </si>
  <si>
    <t>Ogando</t>
  </si>
  <si>
    <t>Hart</t>
  </si>
  <si>
    <t>Morales</t>
  </si>
  <si>
    <t>Morillo</t>
  </si>
  <si>
    <t>Cliford</t>
  </si>
  <si>
    <t>Stokes</t>
  </si>
  <si>
    <t>Wheeler</t>
  </si>
  <si>
    <t>Aslamzada</t>
  </si>
  <si>
    <t>Pizarro</t>
  </si>
  <si>
    <t>Ferdous</t>
  </si>
  <si>
    <t>St Lewis</t>
  </si>
  <si>
    <t>Sewell</t>
  </si>
  <si>
    <t>Assibu</t>
  </si>
  <si>
    <t>Popova</t>
  </si>
  <si>
    <t>Beck</t>
  </si>
  <si>
    <t>Betancourt</t>
  </si>
  <si>
    <t>Mason</t>
  </si>
  <si>
    <t>Robertson</t>
  </si>
  <si>
    <t>Kushnick</t>
  </si>
  <si>
    <t>Campos</t>
  </si>
  <si>
    <t>Pimentel</t>
  </si>
  <si>
    <t>Rendon</t>
  </si>
  <si>
    <t>Dolly</t>
  </si>
  <si>
    <t>Sotobonet</t>
  </si>
  <si>
    <t>Kilgore</t>
  </si>
  <si>
    <t>Fulford</t>
  </si>
  <si>
    <t>Little</t>
  </si>
  <si>
    <t>Colon</t>
  </si>
  <si>
    <t>Soorujbally</t>
  </si>
  <si>
    <t>Gittens</t>
  </si>
  <si>
    <t>Forde</t>
  </si>
  <si>
    <t>Fenton</t>
  </si>
  <si>
    <t>Declercq</t>
  </si>
  <si>
    <t>Walthour</t>
  </si>
  <si>
    <t>Graham</t>
  </si>
  <si>
    <t>English</t>
  </si>
  <si>
    <t>Hossain</t>
  </si>
  <si>
    <t>Sharma</t>
  </si>
  <si>
    <t>Smoot</t>
  </si>
  <si>
    <t>Anderson</t>
  </si>
  <si>
    <t>Noory</t>
  </si>
  <si>
    <t>Attis</t>
  </si>
  <si>
    <t>Gray</t>
  </si>
  <si>
    <t>Bracy</t>
  </si>
  <si>
    <t>Campillo</t>
  </si>
  <si>
    <t>Cooper</t>
  </si>
  <si>
    <t>Josey Jr.</t>
  </si>
  <si>
    <t>Horne</t>
  </si>
  <si>
    <t>Ramos</t>
  </si>
  <si>
    <t>Ellion</t>
  </si>
  <si>
    <t>Lozano</t>
  </si>
  <si>
    <t>Jaggernauth</t>
  </si>
  <si>
    <t>Mercado</t>
  </si>
  <si>
    <t>Siciliano</t>
  </si>
  <si>
    <t>Guillame</t>
  </si>
  <si>
    <t>Cox</t>
  </si>
  <si>
    <t>Guillebeaux</t>
  </si>
  <si>
    <t>Pounds</t>
  </si>
  <si>
    <t>Dacres-Jacke</t>
  </si>
  <si>
    <t>Beepat</t>
  </si>
  <si>
    <t>Williams</t>
  </si>
  <si>
    <t>KHAN</t>
  </si>
  <si>
    <t>Staten</t>
  </si>
  <si>
    <t>Ramirez</t>
  </si>
  <si>
    <t>Kigprayoon</t>
  </si>
  <si>
    <t>Cordoba</t>
  </si>
  <si>
    <t>Groves</t>
  </si>
  <si>
    <t>Russell</t>
  </si>
  <si>
    <t>Pierson</t>
  </si>
  <si>
    <t>Perdomo</t>
  </si>
  <si>
    <t>Stokley</t>
  </si>
  <si>
    <t>Webster</t>
  </si>
  <si>
    <t>Rivera</t>
  </si>
  <si>
    <t>Njoku</t>
  </si>
  <si>
    <t>Morris</t>
  </si>
  <si>
    <t>Josey</t>
  </si>
  <si>
    <t>Orse</t>
  </si>
  <si>
    <t>Pressley</t>
  </si>
  <si>
    <t>Eluke</t>
  </si>
  <si>
    <t>Bernardez</t>
  </si>
  <si>
    <t>Mendez</t>
  </si>
  <si>
    <t>Allen</t>
  </si>
  <si>
    <t>Qiang Jiang</t>
  </si>
  <si>
    <t>Piccone</t>
  </si>
  <si>
    <t>Bridgeforth</t>
  </si>
  <si>
    <t>Choudhury</t>
  </si>
  <si>
    <t>Alston</t>
  </si>
  <si>
    <t>Ahad</t>
  </si>
  <si>
    <t>Semanek</t>
  </si>
  <si>
    <t>Wong</t>
  </si>
  <si>
    <t>Lopez</t>
  </si>
  <si>
    <t>Ruano</t>
  </si>
  <si>
    <t>Wang</t>
  </si>
  <si>
    <t>Pazmino</t>
  </si>
  <si>
    <t>Kaya</t>
  </si>
  <si>
    <t>Abreu</t>
  </si>
  <si>
    <t>Jones</t>
  </si>
  <si>
    <t>Liriano</t>
  </si>
  <si>
    <t>Billingsley</t>
  </si>
  <si>
    <t>Fajardo</t>
  </si>
  <si>
    <t>Foulkes</t>
  </si>
  <si>
    <t>Zorilla-Ratcliff</t>
  </si>
  <si>
    <t>Montalvo</t>
  </si>
  <si>
    <t>Bezman</t>
  </si>
  <si>
    <t>Karim</t>
  </si>
  <si>
    <t>Walker</t>
  </si>
  <si>
    <t>Jang</t>
  </si>
  <si>
    <t>Adams</t>
  </si>
  <si>
    <t>Bailey</t>
  </si>
  <si>
    <t>Ortega</t>
  </si>
  <si>
    <t>Chakraborty</t>
  </si>
  <si>
    <t>Maldonado</t>
  </si>
  <si>
    <t>Kenchen</t>
  </si>
  <si>
    <t>Beliard</t>
  </si>
  <si>
    <t>Apuy</t>
  </si>
  <si>
    <t>Borchers</t>
  </si>
  <si>
    <t>Castillo</t>
  </si>
  <si>
    <t>Basith</t>
  </si>
  <si>
    <t>Johnson</t>
  </si>
  <si>
    <t>Lantigua</t>
  </si>
  <si>
    <t>Mendoza</t>
  </si>
  <si>
    <t>Khalid</t>
  </si>
  <si>
    <t>Cifuentes</t>
  </si>
  <si>
    <t>Jarrett</t>
  </si>
  <si>
    <t>Hidegfoldi</t>
  </si>
  <si>
    <t>Dhana</t>
  </si>
  <si>
    <t>Pena</t>
  </si>
  <si>
    <t>Migues</t>
  </si>
  <si>
    <t>Huggins</t>
  </si>
  <si>
    <t>Rahman</t>
  </si>
  <si>
    <t>Oviedo</t>
  </si>
  <si>
    <t>Aguasvivas</t>
  </si>
  <si>
    <t>Ortiz</t>
  </si>
  <si>
    <t>Miraki</t>
  </si>
  <si>
    <t>Herold</t>
  </si>
  <si>
    <t>Galarza</t>
  </si>
  <si>
    <t>Archibald</t>
  </si>
  <si>
    <t>Green</t>
  </si>
  <si>
    <t>Carmona</t>
  </si>
  <si>
    <t>Corcino</t>
  </si>
  <si>
    <t>Kaymaz</t>
  </si>
  <si>
    <t>Sanders</t>
  </si>
  <si>
    <t>Jefferson</t>
  </si>
  <si>
    <t>Homeyer</t>
  </si>
  <si>
    <t>Spinos</t>
  </si>
  <si>
    <t>Chambers</t>
  </si>
  <si>
    <t>Graniela</t>
  </si>
  <si>
    <t>Hendricks</t>
  </si>
  <si>
    <t>Gaspar</t>
  </si>
  <si>
    <t>Javed</t>
  </si>
  <si>
    <t>Larregui</t>
  </si>
  <si>
    <t>Lindsay</t>
  </si>
  <si>
    <t>Forrest</t>
  </si>
  <si>
    <t>Abdelaziz</t>
  </si>
  <si>
    <t>Soto</t>
  </si>
  <si>
    <t>Boncoeur</t>
  </si>
  <si>
    <t>Jenkins</t>
  </si>
  <si>
    <t>Villamizar</t>
  </si>
  <si>
    <t>Bancroft</t>
  </si>
  <si>
    <t>Zollo</t>
  </si>
  <si>
    <t>Highsmith</t>
  </si>
  <si>
    <t>Vasquez Rivas</t>
  </si>
  <si>
    <t>Hernandez</t>
  </si>
  <si>
    <t>Cruz</t>
  </si>
  <si>
    <t>Primiani</t>
  </si>
  <si>
    <t>Gordon</t>
  </si>
  <si>
    <t>Nelson-Campbell</t>
  </si>
  <si>
    <t>Minor</t>
  </si>
  <si>
    <t>Spriggs</t>
  </si>
  <si>
    <t>Carpenter</t>
  </si>
  <si>
    <t>Cancel</t>
  </si>
  <si>
    <t>Ferretti</t>
  </si>
  <si>
    <t>Martin</t>
  </si>
  <si>
    <t>Nicosia</t>
  </si>
  <si>
    <t>Isaac</t>
  </si>
  <si>
    <t>Cires</t>
  </si>
  <si>
    <t>Marchoff</t>
  </si>
  <si>
    <t>Acevedo</t>
  </si>
  <si>
    <t>Grace-Phillips</t>
  </si>
  <si>
    <t>Singh</t>
  </si>
  <si>
    <t>Lynch</t>
  </si>
  <si>
    <t>Lozada</t>
  </si>
  <si>
    <t>Paulino</t>
  </si>
  <si>
    <t>Nishiyori</t>
  </si>
  <si>
    <t>Soto-Cruz</t>
  </si>
  <si>
    <t>McCoy</t>
  </si>
  <si>
    <t>McNair</t>
  </si>
  <si>
    <t>Rojan</t>
  </si>
  <si>
    <t>Matubis</t>
  </si>
  <si>
    <t>Sasaki</t>
  </si>
  <si>
    <t>Peralta</t>
  </si>
  <si>
    <t>Del Villar</t>
  </si>
  <si>
    <t>Grandison</t>
  </si>
  <si>
    <t>Robinson</t>
  </si>
  <si>
    <t>Delicia</t>
  </si>
  <si>
    <t>Krojcer</t>
  </si>
  <si>
    <t>Barriffe</t>
  </si>
  <si>
    <t>Fields</t>
  </si>
  <si>
    <t>Davis</t>
  </si>
  <si>
    <t>Mitchell</t>
  </si>
  <si>
    <t>Alaway</t>
  </si>
  <si>
    <t>Patterson</t>
  </si>
  <si>
    <t>Harvey</t>
  </si>
  <si>
    <t>Toro</t>
  </si>
  <si>
    <t>Ahmad</t>
  </si>
  <si>
    <t>Likovic</t>
  </si>
  <si>
    <t>Nealous</t>
  </si>
  <si>
    <t>Ohayon</t>
  </si>
  <si>
    <t>Chin</t>
  </si>
  <si>
    <t>Wiley</t>
  </si>
  <si>
    <t>Chozom</t>
  </si>
  <si>
    <t>Sacks</t>
  </si>
  <si>
    <t>Amerman</t>
  </si>
  <si>
    <t>Mayers</t>
  </si>
  <si>
    <t>Brooks</t>
  </si>
  <si>
    <t>Calderon</t>
  </si>
  <si>
    <t>Grindley</t>
  </si>
  <si>
    <t>Smith</t>
  </si>
  <si>
    <t>Haven</t>
  </si>
  <si>
    <t>Caceres</t>
  </si>
  <si>
    <t>Perez</t>
  </si>
  <si>
    <t>Kendall</t>
  </si>
  <si>
    <t>Marrero</t>
  </si>
  <si>
    <t>Arreaga</t>
  </si>
  <si>
    <t>Sellers</t>
  </si>
  <si>
    <t>Waddell</t>
  </si>
  <si>
    <t>Koryor</t>
  </si>
  <si>
    <t>Hunter</t>
  </si>
  <si>
    <t>Iturralde</t>
  </si>
  <si>
    <t>Deronette</t>
  </si>
  <si>
    <t>Lieber</t>
  </si>
  <si>
    <t>Faverey</t>
  </si>
  <si>
    <t>Arenas</t>
  </si>
  <si>
    <t>Naimova</t>
  </si>
  <si>
    <t>Bello</t>
  </si>
  <si>
    <t>Cruickshank</t>
  </si>
  <si>
    <t>Palaguachi</t>
  </si>
  <si>
    <t>Christie</t>
  </si>
  <si>
    <t>Dawkins</t>
  </si>
  <si>
    <t>Gravesande</t>
  </si>
  <si>
    <t>Gallimore</t>
  </si>
  <si>
    <t>Hill</t>
  </si>
  <si>
    <t>Marston</t>
  </si>
  <si>
    <t>Aleman</t>
  </si>
  <si>
    <t>Strambeanu</t>
  </si>
  <si>
    <t>Moncada</t>
  </si>
  <si>
    <t>Tout Puissant</t>
  </si>
  <si>
    <t>Rosario</t>
  </si>
  <si>
    <t>Manigualt</t>
  </si>
  <si>
    <t>Strickland</t>
  </si>
  <si>
    <t>Valentin</t>
  </si>
  <si>
    <t>Martinez</t>
  </si>
  <si>
    <t>Carrasco</t>
  </si>
  <si>
    <t>Uka</t>
  </si>
  <si>
    <t>Greenwood</t>
  </si>
  <si>
    <t>Mounter</t>
  </si>
  <si>
    <t>Dumas</t>
  </si>
  <si>
    <t>Mullings</t>
  </si>
  <si>
    <t>Strong</t>
  </si>
  <si>
    <t>Hoffmann</t>
  </si>
  <si>
    <t>McFarlene</t>
  </si>
  <si>
    <t>Pesantes</t>
  </si>
  <si>
    <t>Velez</t>
  </si>
  <si>
    <t>Halpin</t>
  </si>
  <si>
    <t>Kreiss</t>
  </si>
  <si>
    <t>El Foulki</t>
  </si>
  <si>
    <t>Freire</t>
  </si>
  <si>
    <t>Girdusky</t>
  </si>
  <si>
    <t>Klass</t>
  </si>
  <si>
    <t>Myree</t>
  </si>
  <si>
    <t>Drummond</t>
  </si>
  <si>
    <t>Scott</t>
  </si>
  <si>
    <t>Ford</t>
  </si>
  <si>
    <t>Maxwell</t>
  </si>
  <si>
    <t>Engelson</t>
  </si>
  <si>
    <t>Jeenarine</t>
  </si>
  <si>
    <t>Huertas</t>
  </si>
  <si>
    <t>Murray</t>
  </si>
  <si>
    <t>Restrepo</t>
  </si>
  <si>
    <t>Castillo Abreu</t>
  </si>
  <si>
    <t>Mashriqui</t>
  </si>
  <si>
    <t>Taborda</t>
  </si>
  <si>
    <t>Li</t>
  </si>
  <si>
    <t>Shakir</t>
  </si>
  <si>
    <t>Flores</t>
  </si>
  <si>
    <t>Boyko</t>
  </si>
  <si>
    <t>Mayard</t>
  </si>
  <si>
    <t>Reid</t>
  </si>
  <si>
    <t>Crawford</t>
  </si>
  <si>
    <t>Burrell</t>
  </si>
  <si>
    <t>Marin</t>
  </si>
  <si>
    <t>Bermudez</t>
  </si>
  <si>
    <t>Hoffman</t>
  </si>
  <si>
    <t>Taylor</t>
  </si>
  <si>
    <t>Orr</t>
  </si>
  <si>
    <t>Harrell</t>
  </si>
  <si>
    <t>Massey</t>
  </si>
  <si>
    <t>Asgar</t>
  </si>
  <si>
    <t>Bostick</t>
  </si>
  <si>
    <t>Landor</t>
  </si>
  <si>
    <t>Lucas</t>
  </si>
  <si>
    <t>Guzman</t>
  </si>
  <si>
    <t>Renesca</t>
  </si>
  <si>
    <t>Villegas</t>
  </si>
  <si>
    <t>Laws</t>
  </si>
  <si>
    <t>Crawley</t>
  </si>
  <si>
    <t>Boyd-Arena</t>
  </si>
  <si>
    <t>Moreno</t>
  </si>
  <si>
    <t>Blackman</t>
  </si>
  <si>
    <t>Glass</t>
  </si>
  <si>
    <t>Holmes</t>
  </si>
  <si>
    <t>Islam</t>
  </si>
  <si>
    <t>Hinton</t>
  </si>
  <si>
    <t>Swarna</t>
  </si>
  <si>
    <t>Sultana</t>
  </si>
  <si>
    <t>Gassama</t>
  </si>
  <si>
    <t>Hussain</t>
  </si>
  <si>
    <t>Parker</t>
  </si>
  <si>
    <t>Outley</t>
  </si>
  <si>
    <t>Lord</t>
  </si>
  <si>
    <t>Lawlor</t>
  </si>
  <si>
    <t>Sterling</t>
  </si>
  <si>
    <t>Marks</t>
  </si>
  <si>
    <t>Caraballo</t>
  </si>
  <si>
    <t>Whitfield</t>
  </si>
  <si>
    <t>Sternburg</t>
  </si>
  <si>
    <t>Ivery</t>
  </si>
  <si>
    <t>Govea</t>
  </si>
  <si>
    <t>Espeut</t>
  </si>
  <si>
    <t>Corbett</t>
  </si>
  <si>
    <t>Vasquez</t>
  </si>
  <si>
    <t>Rogers</t>
  </si>
  <si>
    <t>Zeas</t>
  </si>
  <si>
    <t>Rivas</t>
  </si>
  <si>
    <t>Aziz</t>
  </si>
  <si>
    <t>Numan</t>
  </si>
  <si>
    <t>Buckrham</t>
  </si>
  <si>
    <t>Porter</t>
  </si>
  <si>
    <t>Merritt</t>
  </si>
  <si>
    <t>Cole</t>
  </si>
  <si>
    <t>Witcher</t>
  </si>
  <si>
    <t>Beckford</t>
  </si>
  <si>
    <t>Gaviola</t>
  </si>
  <si>
    <t>Oliveros</t>
  </si>
  <si>
    <t>Wells</t>
  </si>
  <si>
    <t>McDermoth</t>
  </si>
  <si>
    <t>Diaz</t>
  </si>
  <si>
    <t>Toyer</t>
  </si>
  <si>
    <t>Edwards</t>
  </si>
  <si>
    <t>Yacoob</t>
  </si>
  <si>
    <t>Munoz</t>
  </si>
  <si>
    <t>Santana</t>
  </si>
  <si>
    <t>Salguero</t>
  </si>
  <si>
    <t>Hall</t>
  </si>
  <si>
    <t>Tillery</t>
  </si>
  <si>
    <t>Woolfolk</t>
  </si>
  <si>
    <t>Zhen Lin</t>
  </si>
  <si>
    <t>Khaitova</t>
  </si>
  <si>
    <t>Boichenko-Ann</t>
  </si>
  <si>
    <t>Ramkhelawan</t>
  </si>
  <si>
    <t>Callender</t>
  </si>
  <si>
    <t>Prescott</t>
  </si>
  <si>
    <t>Ponce</t>
  </si>
  <si>
    <t>Magee</t>
  </si>
  <si>
    <t>Guida</t>
  </si>
  <si>
    <t>Taveras</t>
  </si>
  <si>
    <t>Hobson</t>
  </si>
  <si>
    <t>Pabarroo</t>
  </si>
  <si>
    <t>Castano</t>
  </si>
  <si>
    <t>Khaimova</t>
  </si>
  <si>
    <t>Reyes</t>
  </si>
  <si>
    <t>Brown</t>
  </si>
  <si>
    <t>Carr</t>
  </si>
  <si>
    <t>Valentine</t>
  </si>
  <si>
    <t>Xelo</t>
  </si>
  <si>
    <t>Fletcher</t>
  </si>
  <si>
    <t>Bethune</t>
  </si>
  <si>
    <t>Gomez</t>
  </si>
  <si>
    <t>Greene</t>
  </si>
  <si>
    <t>Douglas</t>
  </si>
  <si>
    <t>Paguay</t>
  </si>
  <si>
    <t>Testa</t>
  </si>
  <si>
    <t>Braswell</t>
  </si>
  <si>
    <t>Pandya</t>
  </si>
  <si>
    <t>Plummer</t>
  </si>
  <si>
    <t>Germain</t>
  </si>
  <si>
    <t>Chamorro</t>
  </si>
  <si>
    <t>Cuello</t>
  </si>
  <si>
    <t>Parks</t>
  </si>
  <si>
    <t>Kim</t>
  </si>
  <si>
    <t>Poulson</t>
  </si>
  <si>
    <t>Loria</t>
  </si>
  <si>
    <t>Emanuel</t>
  </si>
  <si>
    <t>Woodruff</t>
  </si>
  <si>
    <t>Greaves</t>
  </si>
  <si>
    <t>Beckles</t>
  </si>
  <si>
    <t>Aran</t>
  </si>
  <si>
    <t>Walters</t>
  </si>
  <si>
    <t>Mahmud</t>
  </si>
  <si>
    <t>Vazquez</t>
  </si>
  <si>
    <t>Rojas</t>
  </si>
  <si>
    <t>Richardson</t>
  </si>
  <si>
    <t>Crespo</t>
  </si>
  <si>
    <t>Cordova</t>
  </si>
  <si>
    <t>Perales</t>
  </si>
  <si>
    <t>Shaw</t>
  </si>
  <si>
    <t>Delgado</t>
  </si>
  <si>
    <t>Calcagno</t>
  </si>
  <si>
    <t>Mekki</t>
  </si>
  <si>
    <t>Molano</t>
  </si>
  <si>
    <t>Pan</t>
  </si>
  <si>
    <t>Alejo-Cepeda</t>
  </si>
  <si>
    <t>Fermin</t>
  </si>
  <si>
    <t>Saverino</t>
  </si>
  <si>
    <t>Agatep</t>
  </si>
  <si>
    <t>Lubin</t>
  </si>
  <si>
    <t>Upegui</t>
  </si>
  <si>
    <t>Ramnarine</t>
  </si>
  <si>
    <t>Angulo</t>
  </si>
  <si>
    <t>Rocha</t>
  </si>
  <si>
    <t>Rubinstein</t>
  </si>
  <si>
    <t>Mejia</t>
  </si>
  <si>
    <t>Dockery</t>
  </si>
  <si>
    <t>Fischer</t>
  </si>
  <si>
    <t>Belliard</t>
  </si>
  <si>
    <t>Seabrook</t>
  </si>
  <si>
    <t>Raj</t>
  </si>
  <si>
    <t>Burgos</t>
  </si>
  <si>
    <t>Elashkar</t>
  </si>
  <si>
    <t>Vigilance</t>
  </si>
  <si>
    <t>Garcia</t>
  </si>
  <si>
    <t>Engesser</t>
  </si>
  <si>
    <t>Hosten</t>
  </si>
  <si>
    <t>Azerbarzin</t>
  </si>
  <si>
    <t>Sylla</t>
  </si>
  <si>
    <t>Clarke</t>
  </si>
  <si>
    <t>Callahan</t>
  </si>
  <si>
    <t>Hubbard</t>
  </si>
  <si>
    <t>Torres</t>
  </si>
  <si>
    <t>Fisher</t>
  </si>
  <si>
    <t>Febrillet</t>
  </si>
  <si>
    <t>ROMAN</t>
  </si>
  <si>
    <t>Paupaw</t>
  </si>
  <si>
    <t>Oramas</t>
  </si>
  <si>
    <t>Dorsey</t>
  </si>
  <si>
    <t>Jamieson</t>
  </si>
  <si>
    <t>Wright</t>
  </si>
  <si>
    <t>Medovaia</t>
  </si>
  <si>
    <t>Eji</t>
  </si>
  <si>
    <t>Halim</t>
  </si>
  <si>
    <t>Price</t>
  </si>
  <si>
    <t>Perez Wolf</t>
  </si>
  <si>
    <t>Siri</t>
  </si>
  <si>
    <t>Llarena</t>
  </si>
  <si>
    <t>Tahera</t>
  </si>
  <si>
    <t>Metellus</t>
  </si>
  <si>
    <t>Rodriguez-Fouzi</t>
  </si>
  <si>
    <t>Dickenson</t>
  </si>
  <si>
    <t>Collado</t>
  </si>
  <si>
    <t>Kubik</t>
  </si>
  <si>
    <t>Marrasquin</t>
  </si>
  <si>
    <t>De Los Santos</t>
  </si>
  <si>
    <t>Thompson</t>
  </si>
  <si>
    <t>King</t>
  </si>
  <si>
    <t>Palmer</t>
  </si>
  <si>
    <t>Hoque</t>
  </si>
  <si>
    <t>Gadson</t>
  </si>
  <si>
    <t>Rasheed</t>
  </si>
  <si>
    <t>Munera</t>
  </si>
  <si>
    <t>Marmolejos</t>
  </si>
  <si>
    <t>Cusaac</t>
  </si>
  <si>
    <t>Nogotaly</t>
  </si>
  <si>
    <t>Richbourgh</t>
  </si>
  <si>
    <t>Alleyne</t>
  </si>
  <si>
    <t>Yazid</t>
  </si>
  <si>
    <t>Sucasaca</t>
  </si>
  <si>
    <t>Mejia De Espejo</t>
  </si>
  <si>
    <t>Gonzalez</t>
  </si>
  <si>
    <t>Spector</t>
  </si>
  <si>
    <t>Starvage</t>
  </si>
  <si>
    <t>Stroh</t>
  </si>
  <si>
    <t>Amadeo</t>
  </si>
  <si>
    <t>Tolliver</t>
  </si>
  <si>
    <t>Samuel</t>
  </si>
  <si>
    <t>Swinton</t>
  </si>
  <si>
    <t>Pandydiego</t>
  </si>
  <si>
    <t>Jackson</t>
  </si>
  <si>
    <t>Nunez</t>
  </si>
  <si>
    <t>Ayala</t>
  </si>
  <si>
    <t>Weinstein</t>
  </si>
  <si>
    <t>Vaswani</t>
  </si>
  <si>
    <t>McQueen</t>
  </si>
  <si>
    <t>Westwood</t>
  </si>
  <si>
    <t>Austin</t>
  </si>
  <si>
    <t>Kalmann</t>
  </si>
  <si>
    <t>Barron</t>
  </si>
  <si>
    <t>Pineda</t>
  </si>
  <si>
    <t>Webbert</t>
  </si>
  <si>
    <t>Harris</t>
  </si>
  <si>
    <t>Dirubba</t>
  </si>
  <si>
    <t>Mukhamadieva</t>
  </si>
  <si>
    <t>Czeh</t>
  </si>
  <si>
    <t>Amanilla</t>
  </si>
  <si>
    <t>Minot</t>
  </si>
  <si>
    <t>Siany</t>
  </si>
  <si>
    <t>Viespe</t>
  </si>
  <si>
    <t>Medina</t>
  </si>
  <si>
    <t>Adlam</t>
  </si>
  <si>
    <t>Dollisme</t>
  </si>
  <si>
    <t>Correa</t>
  </si>
  <si>
    <t>Salce</t>
  </si>
  <si>
    <t>O'Sullivan</t>
  </si>
  <si>
    <t>Veleva</t>
  </si>
  <si>
    <t>Saylor</t>
  </si>
  <si>
    <t>Bowie</t>
  </si>
  <si>
    <t>Levine</t>
  </si>
  <si>
    <t>Pego Martinez</t>
  </si>
  <si>
    <t>Coronel</t>
  </si>
  <si>
    <t>Fieldings</t>
  </si>
  <si>
    <t>Collazo</t>
  </si>
  <si>
    <t>Eady</t>
  </si>
  <si>
    <t>Brava</t>
  </si>
  <si>
    <t>Cannon</t>
  </si>
  <si>
    <t>Canton</t>
  </si>
  <si>
    <t>Feldman</t>
  </si>
  <si>
    <t>Morton</t>
  </si>
  <si>
    <t>Ramsey</t>
  </si>
  <si>
    <t>Lozado</t>
  </si>
  <si>
    <t>Miller Moore</t>
  </si>
  <si>
    <t>Duran</t>
  </si>
  <si>
    <t>Hodge</t>
  </si>
  <si>
    <t>Muniz</t>
  </si>
  <si>
    <t>McKinney</t>
  </si>
  <si>
    <t>Hogan</t>
  </si>
  <si>
    <t>Sheroff</t>
  </si>
  <si>
    <t>Lawrence</t>
  </si>
  <si>
    <t>Polanski</t>
  </si>
  <si>
    <t>McKines</t>
  </si>
  <si>
    <t>Abrams</t>
  </si>
  <si>
    <t>Davie</t>
  </si>
  <si>
    <t>Jordan</t>
  </si>
  <si>
    <t>Akter</t>
  </si>
  <si>
    <t>Raskazof</t>
  </si>
  <si>
    <t>Fazal</t>
  </si>
  <si>
    <t>Hernandez Reyes</t>
  </si>
  <si>
    <t>Tambriz Guarchaj</t>
  </si>
  <si>
    <t>Cortez</t>
  </si>
  <si>
    <t>Fan</t>
  </si>
  <si>
    <t>Lin</t>
  </si>
  <si>
    <t>Liau</t>
  </si>
  <si>
    <t>Viskovic</t>
  </si>
  <si>
    <t>Beaton</t>
  </si>
  <si>
    <t>Saeed</t>
  </si>
  <si>
    <t>Lovett</t>
  </si>
  <si>
    <t>Moody</t>
  </si>
  <si>
    <t>Maffetone</t>
  </si>
  <si>
    <t>Kinalis</t>
  </si>
  <si>
    <t>Roldan</t>
  </si>
  <si>
    <t>Tyler</t>
  </si>
  <si>
    <t>Dinorcia</t>
  </si>
  <si>
    <t>Joyner</t>
  </si>
  <si>
    <t>Parrish</t>
  </si>
  <si>
    <t>Praileau</t>
  </si>
  <si>
    <t>Abuchi</t>
  </si>
  <si>
    <t>Paltoo</t>
  </si>
  <si>
    <t>Delacruz</t>
  </si>
  <si>
    <t>Ma</t>
  </si>
  <si>
    <t>Mayi</t>
  </si>
  <si>
    <t>Arias</t>
  </si>
  <si>
    <t>Santiago</t>
  </si>
  <si>
    <t>Chung</t>
  </si>
  <si>
    <t>Almond</t>
  </si>
  <si>
    <t>Marroche</t>
  </si>
  <si>
    <t>Parra</t>
  </si>
  <si>
    <t>Murillo</t>
  </si>
  <si>
    <t>Nolan</t>
  </si>
  <si>
    <t>Tanabu</t>
  </si>
  <si>
    <t>Fu</t>
  </si>
  <si>
    <t>Philp</t>
  </si>
  <si>
    <t>Horsham</t>
  </si>
  <si>
    <t>Barua</t>
  </si>
  <si>
    <t>Fong</t>
  </si>
  <si>
    <t>Meerbaum</t>
  </si>
  <si>
    <t>Vadala</t>
  </si>
  <si>
    <t>Schneller</t>
  </si>
  <si>
    <t>Nepal</t>
  </si>
  <si>
    <t>Alladoumngue</t>
  </si>
  <si>
    <t>Klohe</t>
  </si>
  <si>
    <t>Ramkisson</t>
  </si>
  <si>
    <t>Femia</t>
  </si>
  <si>
    <t>Soliman</t>
  </si>
  <si>
    <t>Gerard</t>
  </si>
  <si>
    <t>Ciapetta</t>
  </si>
  <si>
    <t>Klutsey</t>
  </si>
  <si>
    <t>Mejia Portillo</t>
  </si>
  <si>
    <t>Bernabe</t>
  </si>
  <si>
    <t>Clermont</t>
  </si>
  <si>
    <t>Camurati</t>
  </si>
  <si>
    <t>Cardenas</t>
  </si>
  <si>
    <t>Park</t>
  </si>
  <si>
    <t>Bahadoorsingh</t>
  </si>
  <si>
    <t>Navarro</t>
  </si>
  <si>
    <t>Chang</t>
  </si>
  <si>
    <t>Mustafic</t>
  </si>
  <si>
    <t>Yan</t>
  </si>
  <si>
    <t>Hughes</t>
  </si>
  <si>
    <t>Licona</t>
  </si>
  <si>
    <t>Milden</t>
  </si>
  <si>
    <t>Uriel Gomez</t>
  </si>
  <si>
    <t>Santos</t>
  </si>
  <si>
    <t>Akhi</t>
  </si>
  <si>
    <t>Dunlop</t>
  </si>
  <si>
    <t>De La Rosa</t>
  </si>
  <si>
    <t>Payne</t>
  </si>
  <si>
    <t>Sarit</t>
  </si>
  <si>
    <t>Nowik</t>
  </si>
  <si>
    <t>Dickerson</t>
  </si>
  <si>
    <t>Broecker</t>
  </si>
  <si>
    <t>Nance</t>
  </si>
  <si>
    <t>Nowacki</t>
  </si>
  <si>
    <t>Gardner</t>
  </si>
  <si>
    <t>Tolbert</t>
  </si>
  <si>
    <t>Daly</t>
  </si>
  <si>
    <t>Elsayed</t>
  </si>
  <si>
    <t>Arevalo Martinez</t>
  </si>
  <si>
    <t>Donmez</t>
  </si>
  <si>
    <t>Otero</t>
  </si>
  <si>
    <t>Reeves</t>
  </si>
  <si>
    <t>Garcia Lopez</t>
  </si>
  <si>
    <t>Gotay</t>
  </si>
  <si>
    <t>Outon</t>
  </si>
  <si>
    <t>Fortes</t>
  </si>
  <si>
    <t>Chandra</t>
  </si>
  <si>
    <t>Benoit</t>
  </si>
  <si>
    <t>Bland</t>
  </si>
  <si>
    <t>Davila</t>
  </si>
  <si>
    <t>Liguori</t>
  </si>
  <si>
    <t>Moussaid</t>
  </si>
  <si>
    <t>Shahoah</t>
  </si>
  <si>
    <t>Norman</t>
  </si>
  <si>
    <t>Dragon</t>
  </si>
  <si>
    <t>Puentes</t>
  </si>
  <si>
    <t>Malendes</t>
  </si>
  <si>
    <t>Uddin</t>
  </si>
  <si>
    <t>Villas</t>
  </si>
  <si>
    <t>Spence</t>
  </si>
  <si>
    <t>Browne Lopez</t>
  </si>
  <si>
    <t>Napolitano</t>
  </si>
  <si>
    <t>Medina-Restrepo</t>
  </si>
  <si>
    <t>Serrano Ravelo</t>
  </si>
  <si>
    <t>Alvarez</t>
  </si>
  <si>
    <t>Rabinowitz</t>
  </si>
  <si>
    <t>Giannelli</t>
  </si>
  <si>
    <t>Robles</t>
  </si>
  <si>
    <t>Bogle</t>
  </si>
  <si>
    <t>Morgan</t>
  </si>
  <si>
    <t>Corea</t>
  </si>
  <si>
    <t>Riley</t>
  </si>
  <si>
    <t>Thai</t>
  </si>
  <si>
    <t>Edoo</t>
  </si>
  <si>
    <t>Jaber</t>
  </si>
  <si>
    <t>Tutt</t>
  </si>
  <si>
    <t>Painchault</t>
  </si>
  <si>
    <t>Schneider</t>
  </si>
  <si>
    <t>Ye</t>
  </si>
  <si>
    <t>San Juan</t>
  </si>
  <si>
    <t>Toussaint</t>
  </si>
  <si>
    <t>Hicks</t>
  </si>
  <si>
    <t>Kingston</t>
  </si>
  <si>
    <t>Tillman</t>
  </si>
  <si>
    <t>Headley</t>
  </si>
  <si>
    <t>Kitt</t>
  </si>
  <si>
    <t>Josten</t>
  </si>
  <si>
    <t>Hewitt</t>
  </si>
  <si>
    <t>Laffey</t>
  </si>
  <si>
    <t>Waldman</t>
  </si>
  <si>
    <t>Veira</t>
  </si>
  <si>
    <t>Chabra</t>
  </si>
  <si>
    <t>Elder</t>
  </si>
  <si>
    <t>Huang</t>
  </si>
  <si>
    <t>Alamgir</t>
  </si>
  <si>
    <t>Wynter</t>
  </si>
  <si>
    <t>Ambro</t>
  </si>
  <si>
    <t>Braunstein</t>
  </si>
  <si>
    <t>Broach</t>
  </si>
  <si>
    <t>Desroches</t>
  </si>
  <si>
    <t>Campoverde</t>
  </si>
  <si>
    <t>Bazan</t>
  </si>
  <si>
    <t>Osorio-Ocampo</t>
  </si>
  <si>
    <t>Sweety</t>
  </si>
  <si>
    <t>Amrani</t>
  </si>
  <si>
    <t>Abdel- Khalek</t>
  </si>
  <si>
    <t>Chakrani</t>
  </si>
  <si>
    <t>Marquez</t>
  </si>
  <si>
    <t>Shelley-Sindoni</t>
  </si>
  <si>
    <t>Menelik</t>
  </si>
  <si>
    <t>Rigaud</t>
  </si>
  <si>
    <t>De La Cruz</t>
  </si>
  <si>
    <t>Apostolescu</t>
  </si>
  <si>
    <t>Forbes</t>
  </si>
  <si>
    <t>Jourdain</t>
  </si>
  <si>
    <t>Kilikci</t>
  </si>
  <si>
    <t>Chauhan</t>
  </si>
  <si>
    <t>West</t>
  </si>
  <si>
    <t>Fredericks</t>
  </si>
  <si>
    <t>Wagner</t>
  </si>
  <si>
    <t>Ciancimino</t>
  </si>
  <si>
    <t>Leake</t>
  </si>
  <si>
    <t>Nearpass</t>
  </si>
  <si>
    <t>Gaulman</t>
  </si>
  <si>
    <t>Sooknanan Singh</t>
  </si>
  <si>
    <t>Melendez</t>
  </si>
  <si>
    <t>Apessos</t>
  </si>
  <si>
    <t>Mukhtar</t>
  </si>
  <si>
    <t>Beltrain</t>
  </si>
  <si>
    <t>Turner</t>
  </si>
  <si>
    <t>Bolton</t>
  </si>
  <si>
    <t>Paniagua</t>
  </si>
  <si>
    <t>Secomer</t>
  </si>
  <si>
    <t>Grayson</t>
  </si>
  <si>
    <t>Shivers</t>
  </si>
  <si>
    <t>O'Brien</t>
  </si>
  <si>
    <t>Caballero</t>
  </si>
  <si>
    <t>White</t>
  </si>
  <si>
    <t>Doboshinski</t>
  </si>
  <si>
    <t>Salazar</t>
  </si>
  <si>
    <t>Fortune</t>
  </si>
  <si>
    <t>Speed</t>
  </si>
  <si>
    <t>Cumberbatch</t>
  </si>
  <si>
    <t>Jara</t>
  </si>
  <si>
    <t>Logan</t>
  </si>
  <si>
    <t>Cottrell</t>
  </si>
  <si>
    <t>Emam</t>
  </si>
  <si>
    <t>Salauddin</t>
  </si>
  <si>
    <t>Veras</t>
  </si>
  <si>
    <t>Chisolm</t>
  </si>
  <si>
    <t>Webb</t>
  </si>
  <si>
    <t>Goldshine</t>
  </si>
  <si>
    <t>Collins</t>
  </si>
  <si>
    <t>McNeil</t>
  </si>
  <si>
    <t>Berkley</t>
  </si>
  <si>
    <t>Moona</t>
  </si>
  <si>
    <t>Skeen Grant</t>
  </si>
  <si>
    <t>Rasool</t>
  </si>
  <si>
    <t>Guerrer</t>
  </si>
  <si>
    <t>Jahangir Hossain</t>
  </si>
  <si>
    <t>Watson</t>
  </si>
  <si>
    <t>Bastieu</t>
  </si>
  <si>
    <t>Du</t>
  </si>
  <si>
    <t>Banks</t>
  </si>
  <si>
    <t>Toledo</t>
  </si>
  <si>
    <t>Mills</t>
  </si>
  <si>
    <t>Myers</t>
  </si>
  <si>
    <t>Utin</t>
  </si>
  <si>
    <t>McMillan</t>
  </si>
  <si>
    <t>Adorno</t>
  </si>
  <si>
    <t>Kopelowitz</t>
  </si>
  <si>
    <t>Asseng</t>
  </si>
  <si>
    <t>Kennedy</t>
  </si>
  <si>
    <t>Wu</t>
  </si>
  <si>
    <t>Venn</t>
  </si>
  <si>
    <t>Harden</t>
  </si>
  <si>
    <t>Lopez-Pinajote</t>
  </si>
  <si>
    <t>Johns</t>
  </si>
  <si>
    <t>Huacon</t>
  </si>
  <si>
    <t>Bissessar</t>
  </si>
  <si>
    <t>O'Connor</t>
  </si>
  <si>
    <t>McCarthy</t>
  </si>
  <si>
    <t>Ilyayeva</t>
  </si>
  <si>
    <t>Oliveres-Apostol</t>
  </si>
  <si>
    <t>McRay</t>
  </si>
  <si>
    <t>Begum</t>
  </si>
  <si>
    <t>Ledra</t>
  </si>
  <si>
    <t>Habib</t>
  </si>
  <si>
    <t>McKenzie</t>
  </si>
  <si>
    <t>Tudor</t>
  </si>
  <si>
    <t>Soueidan</t>
  </si>
  <si>
    <t>Aida</t>
  </si>
  <si>
    <t>Moursy</t>
  </si>
  <si>
    <t>Malik</t>
  </si>
  <si>
    <t>Henao</t>
  </si>
  <si>
    <t>Andrews</t>
  </si>
  <si>
    <t>Cardoba</t>
  </si>
  <si>
    <t>Butler</t>
  </si>
  <si>
    <t>Orozco-Osorio</t>
  </si>
  <si>
    <t>Maisonet</t>
  </si>
  <si>
    <t>Kong</t>
  </si>
  <si>
    <t>Carrington</t>
  </si>
  <si>
    <t>Chiardmonte</t>
  </si>
  <si>
    <t>Montrose</t>
  </si>
  <si>
    <t>Mutee</t>
  </si>
  <si>
    <t>Cervantes</t>
  </si>
  <si>
    <t>Elharras</t>
  </si>
  <si>
    <t>Sadouki</t>
  </si>
  <si>
    <t>Tsahirides</t>
  </si>
  <si>
    <t>Miah</t>
  </si>
  <si>
    <t>Batista</t>
  </si>
  <si>
    <t>Miles</t>
  </si>
  <si>
    <t>Mughal</t>
  </si>
  <si>
    <t>Dehojos</t>
  </si>
  <si>
    <t>Maltese</t>
  </si>
  <si>
    <t>Bullock</t>
  </si>
  <si>
    <t>Vega</t>
  </si>
  <si>
    <t>Minier</t>
  </si>
  <si>
    <t>Sarwan</t>
  </si>
  <si>
    <t>Bravo</t>
  </si>
  <si>
    <t>Rampersad</t>
  </si>
  <si>
    <t>Rosado</t>
  </si>
  <si>
    <t>Roman</t>
  </si>
  <si>
    <t>Curillo</t>
  </si>
  <si>
    <t>Fantauzzi</t>
  </si>
  <si>
    <t>Bowden</t>
  </si>
  <si>
    <t>Gause</t>
  </si>
  <si>
    <t>Slacks</t>
  </si>
  <si>
    <t>Blake</t>
  </si>
  <si>
    <t>Aguilar</t>
  </si>
  <si>
    <t>Stevens</t>
  </si>
  <si>
    <t>Newsome</t>
  </si>
  <si>
    <t>Chavez</t>
  </si>
  <si>
    <t>Murrillo</t>
  </si>
  <si>
    <t>Perkins</t>
  </si>
  <si>
    <t>Badall</t>
  </si>
  <si>
    <t>Lascala</t>
  </si>
  <si>
    <t>Alneaimet</t>
  </si>
  <si>
    <t>Fare</t>
  </si>
  <si>
    <t>Posey</t>
  </si>
  <si>
    <t>Hamer</t>
  </si>
  <si>
    <t>Brouineaud</t>
  </si>
  <si>
    <t>Williamson</t>
  </si>
  <si>
    <t>Allison</t>
  </si>
  <si>
    <t>Siegfrieft</t>
  </si>
  <si>
    <t>Zgherea</t>
  </si>
  <si>
    <t>Kahn</t>
  </si>
  <si>
    <t>Gyles</t>
  </si>
  <si>
    <t>Glaspie</t>
  </si>
  <si>
    <t>Harrow</t>
  </si>
  <si>
    <t>Oliveras</t>
  </si>
  <si>
    <t>Jimenez</t>
  </si>
  <si>
    <t>Agosto</t>
  </si>
  <si>
    <t>Leach</t>
  </si>
  <si>
    <t>Dye</t>
  </si>
  <si>
    <t>Howard</t>
  </si>
  <si>
    <t>Fazilova</t>
  </si>
  <si>
    <t>Woods</t>
  </si>
  <si>
    <t>Vanhorne</t>
  </si>
  <si>
    <t>Gatti</t>
  </si>
  <si>
    <t>Chanderpaul</t>
  </si>
  <si>
    <t>Rudolph</t>
  </si>
  <si>
    <t>Umroa</t>
  </si>
  <si>
    <t>Harrison</t>
  </si>
  <si>
    <t>Cullen</t>
  </si>
  <si>
    <t>Ly</t>
  </si>
  <si>
    <t>Cosme</t>
  </si>
  <si>
    <t>Padilla</t>
  </si>
  <si>
    <t>Velasquez</t>
  </si>
  <si>
    <t>Lewars</t>
  </si>
  <si>
    <t>Owens</t>
  </si>
  <si>
    <t>Dupiche</t>
  </si>
  <si>
    <t>Cardiello</t>
  </si>
  <si>
    <t>Cupidore</t>
  </si>
  <si>
    <t>Layden</t>
  </si>
  <si>
    <t>Rojas Crisanto</t>
  </si>
  <si>
    <t>Hines</t>
  </si>
  <si>
    <t>Luengas</t>
  </si>
  <si>
    <t>Curotto</t>
  </si>
  <si>
    <t>Ceron</t>
  </si>
  <si>
    <t>Kidd</t>
  </si>
  <si>
    <t>Paz</t>
  </si>
  <si>
    <t>Laboy</t>
  </si>
  <si>
    <t>Friedman</t>
  </si>
  <si>
    <t>O'Kane</t>
  </si>
  <si>
    <t>Barrett</t>
  </si>
  <si>
    <t>Komara</t>
  </si>
  <si>
    <t>Klubek</t>
  </si>
  <si>
    <t>Bermeo</t>
  </si>
  <si>
    <t>Frangell</t>
  </si>
  <si>
    <t>Casado</t>
  </si>
  <si>
    <t>Mejia Valentin</t>
  </si>
  <si>
    <t>Omolayo</t>
  </si>
  <si>
    <t>Sarango</t>
  </si>
  <si>
    <t>San Filippo</t>
  </si>
  <si>
    <t>Mohamey</t>
  </si>
  <si>
    <t>Navia</t>
  </si>
  <si>
    <t>Muniram</t>
  </si>
  <si>
    <t>McWhorter</t>
  </si>
  <si>
    <t>Tarazona</t>
  </si>
  <si>
    <t>Fordham</t>
  </si>
  <si>
    <t>Chancy</t>
  </si>
  <si>
    <t>Glanville</t>
  </si>
  <si>
    <t>Osborne</t>
  </si>
  <si>
    <t>Young</t>
  </si>
  <si>
    <t>Griffrin</t>
  </si>
  <si>
    <t>Arcos</t>
  </si>
  <si>
    <t>Lowe</t>
  </si>
  <si>
    <t>Arup</t>
  </si>
  <si>
    <t>McGlone</t>
  </si>
  <si>
    <t>McMillian</t>
  </si>
  <si>
    <t>Saha</t>
  </si>
  <si>
    <t>Corporan</t>
  </si>
  <si>
    <t>Smith-Beckett</t>
  </si>
  <si>
    <t>Ramroop</t>
  </si>
  <si>
    <t>Simbana</t>
  </si>
  <si>
    <t>Cepeda</t>
  </si>
  <si>
    <t>Carpio</t>
  </si>
  <si>
    <t>Seay</t>
  </si>
  <si>
    <t>Pinnock</t>
  </si>
  <si>
    <t>McRae</t>
  </si>
  <si>
    <t>Aviles</t>
  </si>
  <si>
    <t>Warren</t>
  </si>
  <si>
    <t>Adedeji</t>
  </si>
  <si>
    <t>Wallace</t>
  </si>
  <si>
    <t>Scales</t>
  </si>
  <si>
    <t>Desire</t>
  </si>
  <si>
    <t>Bowens</t>
  </si>
  <si>
    <t>Kistamma</t>
  </si>
  <si>
    <t>Jaipaul</t>
  </si>
  <si>
    <t>Griffin</t>
  </si>
  <si>
    <t>McGrane</t>
  </si>
  <si>
    <t>Farb</t>
  </si>
  <si>
    <t>Quevedo</t>
  </si>
  <si>
    <t>Huo</t>
  </si>
  <si>
    <t>Essa</t>
  </si>
  <si>
    <t>Shehata</t>
  </si>
  <si>
    <t>Varela</t>
  </si>
  <si>
    <t>McBride</t>
  </si>
  <si>
    <t>Idrissi</t>
  </si>
  <si>
    <t>Harvel</t>
  </si>
  <si>
    <t>Romano</t>
  </si>
  <si>
    <t>Gobin</t>
  </si>
  <si>
    <t>Sanyer</t>
  </si>
  <si>
    <t>Polanco</t>
  </si>
  <si>
    <t>Acosta</t>
  </si>
  <si>
    <t>Reuben</t>
  </si>
  <si>
    <t>Abdelmalak</t>
  </si>
  <si>
    <t>Read</t>
  </si>
  <si>
    <t>Del Escobar</t>
  </si>
  <si>
    <t>Dodson</t>
  </si>
  <si>
    <t>Bowen</t>
  </si>
  <si>
    <t>Nugent</t>
  </si>
  <si>
    <t>Darby</t>
  </si>
  <si>
    <t>Rosenbaum</t>
  </si>
  <si>
    <t>Noel</t>
  </si>
  <si>
    <t>Djina</t>
  </si>
  <si>
    <t>Salado</t>
  </si>
  <si>
    <t>Jemmott</t>
  </si>
  <si>
    <t>Growich</t>
  </si>
  <si>
    <t>Stuckey</t>
  </si>
  <si>
    <t>Mikeska</t>
  </si>
  <si>
    <t>Meeks</t>
  </si>
  <si>
    <t>Sailema</t>
  </si>
  <si>
    <t>Ascencion</t>
  </si>
  <si>
    <t>Kabba</t>
  </si>
  <si>
    <t>Alam</t>
  </si>
  <si>
    <t>Marshall</t>
  </si>
  <si>
    <t>Kossman</t>
  </si>
  <si>
    <t>Balalaos</t>
  </si>
  <si>
    <t>Chadwick-Daley</t>
  </si>
  <si>
    <t>Maquilon</t>
  </si>
  <si>
    <t>Pearson</t>
  </si>
  <si>
    <t>Natoli</t>
  </si>
  <si>
    <t>Huerta</t>
  </si>
  <si>
    <t>Torres-Munoz</t>
  </si>
  <si>
    <t>Pascual</t>
  </si>
  <si>
    <t>Iusmen</t>
  </si>
  <si>
    <t>Opare</t>
  </si>
  <si>
    <t>Sosa</t>
  </si>
  <si>
    <t>Laster</t>
  </si>
  <si>
    <t>Cruz Cabrera</t>
  </si>
  <si>
    <t>DeGeorge</t>
  </si>
  <si>
    <t>Quarshie</t>
  </si>
  <si>
    <t>Jernigan</t>
  </si>
  <si>
    <t>Cameron</t>
  </si>
  <si>
    <t>Hassan</t>
  </si>
  <si>
    <t>Liberos</t>
  </si>
  <si>
    <t>Gangaram</t>
  </si>
  <si>
    <t>Timpa</t>
  </si>
  <si>
    <t>Sims</t>
  </si>
  <si>
    <t>Alvarenga</t>
  </si>
  <si>
    <t>Ohlerich</t>
  </si>
  <si>
    <t>Fangnigbe</t>
  </si>
  <si>
    <t>Glatt</t>
  </si>
  <si>
    <t>Nieves</t>
  </si>
  <si>
    <t>Andon</t>
  </si>
  <si>
    <t>Mahadeo</t>
  </si>
  <si>
    <t>Vaca</t>
  </si>
  <si>
    <t>Zelaya</t>
  </si>
  <si>
    <t>Vallecillo</t>
  </si>
  <si>
    <t>Khan</t>
  </si>
  <si>
    <t>Lozano Soto</t>
  </si>
  <si>
    <t>Savastano</t>
  </si>
  <si>
    <t>Orozco</t>
  </si>
  <si>
    <t>Quinones</t>
  </si>
  <si>
    <t>MAYANCELA</t>
  </si>
  <si>
    <t>Belisle</t>
  </si>
  <si>
    <t>Leveridge</t>
  </si>
  <si>
    <t>Mahone</t>
  </si>
  <si>
    <t>Arocho</t>
  </si>
  <si>
    <t>Buckley</t>
  </si>
  <si>
    <t>Georges</t>
  </si>
  <si>
    <t>Delgado-Rolon</t>
  </si>
  <si>
    <t>Simmon</t>
  </si>
  <si>
    <t>Monzon</t>
  </si>
  <si>
    <t>Chiluiza</t>
  </si>
  <si>
    <t>Ramrattan</t>
  </si>
  <si>
    <t>Rocha-Silva</t>
  </si>
  <si>
    <t>Soleyman</t>
  </si>
  <si>
    <t>D'Agenlo</t>
  </si>
  <si>
    <t>Cueto</t>
  </si>
  <si>
    <t>Wynder</t>
  </si>
  <si>
    <t>Costello</t>
  </si>
  <si>
    <t>Audain</t>
  </si>
  <si>
    <t>Heritage</t>
  </si>
  <si>
    <t>Meyer</t>
  </si>
  <si>
    <t>Gurung</t>
  </si>
  <si>
    <t>Joaquin</t>
  </si>
  <si>
    <t>Miller</t>
  </si>
  <si>
    <t>Hopson</t>
  </si>
  <si>
    <t>Fell</t>
  </si>
  <si>
    <t>Chou</t>
  </si>
  <si>
    <t>Carrillo</t>
  </si>
  <si>
    <t>Nurse</t>
  </si>
  <si>
    <t>Seetaram</t>
  </si>
  <si>
    <t>Adderley</t>
  </si>
  <si>
    <t>Savain</t>
  </si>
  <si>
    <t>Virgilio</t>
  </si>
  <si>
    <t>Sarco</t>
  </si>
  <si>
    <t>Bautista</t>
  </si>
  <si>
    <t>Elban</t>
  </si>
  <si>
    <t>Balayo</t>
  </si>
  <si>
    <t>Nardone</t>
  </si>
  <si>
    <t>Fernandez</t>
  </si>
  <si>
    <t>Elmansouri</t>
  </si>
  <si>
    <t>Tatum</t>
  </si>
  <si>
    <t>Drumgoole</t>
  </si>
  <si>
    <t>Armogan</t>
  </si>
  <si>
    <t>Reed</t>
  </si>
  <si>
    <t>Vaillant</t>
  </si>
  <si>
    <t>Gaffoor</t>
  </si>
  <si>
    <t>Rahmani</t>
  </si>
  <si>
    <t>Basile</t>
  </si>
  <si>
    <t>Jagnarain</t>
  </si>
  <si>
    <t>Mcfarlane</t>
  </si>
  <si>
    <t>Wright-Johnson</t>
  </si>
  <si>
    <t>Batte</t>
  </si>
  <si>
    <t>Romero</t>
  </si>
  <si>
    <t>Trice</t>
  </si>
  <si>
    <t>belal</t>
  </si>
  <si>
    <t>Bernas</t>
  </si>
  <si>
    <t>Esadero</t>
  </si>
  <si>
    <t>Cisco</t>
  </si>
  <si>
    <t>Milla</t>
  </si>
  <si>
    <t>Factora</t>
  </si>
  <si>
    <t>Andrade</t>
  </si>
  <si>
    <t>Nuredin</t>
  </si>
  <si>
    <t>Gil</t>
  </si>
  <si>
    <t>Clowney</t>
  </si>
  <si>
    <t>Magloire</t>
  </si>
  <si>
    <t>Lino</t>
  </si>
  <si>
    <t>Zuleta</t>
  </si>
  <si>
    <t>Giraldo</t>
  </si>
  <si>
    <t>Persaud</t>
  </si>
  <si>
    <t>Mejia-Jimenez</t>
  </si>
  <si>
    <t>Childs</t>
  </si>
  <si>
    <t>McDuffie</t>
  </si>
  <si>
    <t>Guillen</t>
  </si>
  <si>
    <t>Richie</t>
  </si>
  <si>
    <t>Qodirova</t>
  </si>
  <si>
    <t>Nelson Jr.</t>
  </si>
  <si>
    <t>Quniones</t>
  </si>
  <si>
    <t>Hunt</t>
  </si>
  <si>
    <t>BERGER</t>
  </si>
  <si>
    <t>Baustista</t>
  </si>
  <si>
    <t>Humala</t>
  </si>
  <si>
    <t>Urias</t>
  </si>
  <si>
    <t>Colmenanes</t>
  </si>
  <si>
    <t>Blair</t>
  </si>
  <si>
    <t>Seymour</t>
  </si>
  <si>
    <t>Svet</t>
  </si>
  <si>
    <t>Osorio</t>
  </si>
  <si>
    <t>Rovira</t>
  </si>
  <si>
    <t>Eleby</t>
  </si>
  <si>
    <t>Valdez</t>
  </si>
  <si>
    <t>Manigat</t>
  </si>
  <si>
    <t>Polgar</t>
  </si>
  <si>
    <t>Maultsby</t>
  </si>
  <si>
    <t>Mannan</t>
  </si>
  <si>
    <t>Aria</t>
  </si>
  <si>
    <t>Carmiachael</t>
  </si>
  <si>
    <t>Beers</t>
  </si>
  <si>
    <t>Lasley</t>
  </si>
  <si>
    <t>Permiceo</t>
  </si>
  <si>
    <t>Long</t>
  </si>
  <si>
    <t>Arroyo</t>
  </si>
  <si>
    <t>Labunsky</t>
  </si>
  <si>
    <t>Farias</t>
  </si>
  <si>
    <t>Ruiz</t>
  </si>
  <si>
    <t>Hampton</t>
  </si>
  <si>
    <t>Mohan</t>
  </si>
  <si>
    <t>Pires</t>
  </si>
  <si>
    <t>Moore</t>
  </si>
  <si>
    <t>Carter</t>
  </si>
  <si>
    <t>Potjagailo</t>
  </si>
  <si>
    <t>16319 130th Ave</t>
  </si>
  <si>
    <t>17505 109th Ave</t>
  </si>
  <si>
    <t>19025 Woodhull Ave</t>
  </si>
  <si>
    <t>12121 103rd Ave</t>
  </si>
  <si>
    <t>1818 Palmetto St</t>
  </si>
  <si>
    <t>7045 66th St</t>
  </si>
  <si>
    <t>7548 Parsons Blvd</t>
  </si>
  <si>
    <t>4339 158th St</t>
  </si>
  <si>
    <t>4108 12th St</t>
  </si>
  <si>
    <t>12816 Mars Pl</t>
  </si>
  <si>
    <t>8835 162nd St</t>
  </si>
  <si>
    <t>15850 76th Ave</t>
  </si>
  <si>
    <t>9729 134th St</t>
  </si>
  <si>
    <t>4524 39th Pl</t>
  </si>
  <si>
    <t>10910 Queens Blvd</t>
  </si>
  <si>
    <t>11128 158th St</t>
  </si>
  <si>
    <t>1845 26th Rd</t>
  </si>
  <si>
    <t>1824 Cornelia St</t>
  </si>
  <si>
    <t>8816 86th St</t>
  </si>
  <si>
    <t>13-30-128TH STREET</t>
  </si>
  <si>
    <t>13415 232nd St</t>
  </si>
  <si>
    <t>13336 Guy R Brewer Blvd</t>
  </si>
  <si>
    <t>14441 180th St</t>
  </si>
  <si>
    <t>10910 160th St</t>
  </si>
  <si>
    <t>7221 153rd St</t>
  </si>
  <si>
    <t>16824 127th Ave</t>
  </si>
  <si>
    <t>16864 93rd Ave</t>
  </si>
  <si>
    <t>17030 130th Ave</t>
  </si>
  <si>
    <t>12606 172nd St</t>
  </si>
  <si>
    <t>13523 114th St</t>
  </si>
  <si>
    <t>1080 Wyckoff Ave</t>
  </si>
  <si>
    <t>458 Woodward Ave</t>
  </si>
  <si>
    <t>4071 Elbertson St</t>
  </si>
  <si>
    <t>9815 Horace Harding Expy</t>
  </si>
  <si>
    <t>16610 Hendrickson Pl</t>
  </si>
  <si>
    <t>13775 Geranium Ave</t>
  </si>
  <si>
    <t>5315 103rd St</t>
  </si>
  <si>
    <t>4003 Vernon Blvd</t>
  </si>
  <si>
    <t>4038 82nd St</t>
  </si>
  <si>
    <t>18413 Jamaica Ave</t>
  </si>
  <si>
    <t>11630 166th St</t>
  </si>
  <si>
    <t>22414 67th Ave</t>
  </si>
  <si>
    <t>448 Beach 48th St</t>
  </si>
  <si>
    <t>14545 222nd St</t>
  </si>
  <si>
    <t>8637 120th St</t>
  </si>
  <si>
    <t>10207 101st Ave</t>
  </si>
  <si>
    <t>8526 102nd St</t>
  </si>
  <si>
    <t>11049 167th St</t>
  </si>
  <si>
    <t>17810 Sayres Ave</t>
  </si>
  <si>
    <t>11234 Rockaway Beach Blvd</t>
  </si>
  <si>
    <t>12709 89th Ave</t>
  </si>
  <si>
    <t>17044 93rd Ave</t>
  </si>
  <si>
    <t>11927 165th St</t>
  </si>
  <si>
    <t>17717 136th Ave</t>
  </si>
  <si>
    <t>8675 Midland Pkwy</t>
  </si>
  <si>
    <t>8237 Grenfell St</t>
  </si>
  <si>
    <t>13017 120th St</t>
  </si>
  <si>
    <t>10443 165th St</t>
  </si>
  <si>
    <t>12020 146th St</t>
  </si>
  <si>
    <t>14135 85th Rd</t>
  </si>
  <si>
    <t>1894 CORNELIA ST</t>
  </si>
  <si>
    <t>11633 Sutphin Blvd</t>
  </si>
  <si>
    <t>1144 Welling Ct</t>
  </si>
  <si>
    <t>4306 45th St</t>
  </si>
  <si>
    <t>12365 147th St</t>
  </si>
  <si>
    <t>12911 Jamaica Ave</t>
  </si>
  <si>
    <t>8742 Elmhurst Ave</t>
  </si>
  <si>
    <t>10902 Sutphin Blvd</t>
  </si>
  <si>
    <t>25-18 Seagirt Ave</t>
  </si>
  <si>
    <t>4009 10th St</t>
  </si>
  <si>
    <t>23008 146th Ave</t>
  </si>
  <si>
    <t>9233 170th St</t>
  </si>
  <si>
    <t>9010 149th St</t>
  </si>
  <si>
    <t>9330 214th Pl</t>
  </si>
  <si>
    <t>16349 130th Ave</t>
  </si>
  <si>
    <t>19605 110th Ave</t>
  </si>
  <si>
    <t>15515 N Conduit Ave</t>
  </si>
  <si>
    <t>16928 110th Rd</t>
  </si>
  <si>
    <t>20527 Hollis Ave</t>
  </si>
  <si>
    <t>16422 109th Rd</t>
  </si>
  <si>
    <t>8815 168th St</t>
  </si>
  <si>
    <t>10820 160th St</t>
  </si>
  <si>
    <t>3127 49th St</t>
  </si>
  <si>
    <t>7505 113th St</t>
  </si>
  <si>
    <t>6611 99th St</t>
  </si>
  <si>
    <t>16311 Foch Blvd</t>
  </si>
  <si>
    <t>17006 Baisley Blvd</t>
  </si>
  <si>
    <t>12225 Lakeview Ln</t>
  </si>
  <si>
    <t>4140 Denman St</t>
  </si>
  <si>
    <t>11680 Guy R Brewer Blvd</t>
  </si>
  <si>
    <t>19 Beach 95th St</t>
  </si>
  <si>
    <t>1665 Palmetto St</t>
  </si>
  <si>
    <t>11611 168th St</t>
  </si>
  <si>
    <t>4020 Beach Channel Dr</t>
  </si>
  <si>
    <t>1213 Neilson St</t>
  </si>
  <si>
    <t>9838 57th Ave</t>
  </si>
  <si>
    <t>16401 Foch Blvd</t>
  </si>
  <si>
    <t>17728 105th Ave</t>
  </si>
  <si>
    <t>2042 Seagirt Blvd</t>
  </si>
  <si>
    <t>8117 Kneeland Ave</t>
  </si>
  <si>
    <t>8555 115th St</t>
  </si>
  <si>
    <t>11523 122nd St</t>
  </si>
  <si>
    <t>9608 57th Ave</t>
  </si>
  <si>
    <t>13320 Avery Ave</t>
  </si>
  <si>
    <t>6144 Woodbine St</t>
  </si>
  <si>
    <t>8929 163rd St</t>
  </si>
  <si>
    <t>14629 Tuskegee Airmen Way</t>
  </si>
  <si>
    <t>8822 Parsons Blvd</t>
  </si>
  <si>
    <t>8827 75th Ave</t>
  </si>
  <si>
    <t>2204 Collier Ave</t>
  </si>
  <si>
    <t>8615 Ava Pl</t>
  </si>
  <si>
    <t>40 07 67th St</t>
  </si>
  <si>
    <t>9201 48th Ave</t>
  </si>
  <si>
    <t>5102 67th St</t>
  </si>
  <si>
    <t>4850 41st St</t>
  </si>
  <si>
    <t>13338 Sanford Ave</t>
  </si>
  <si>
    <t>9711 Horace Harding Expy</t>
  </si>
  <si>
    <t>8510 Elmhurst Ave</t>
  </si>
  <si>
    <t>4516 49th st</t>
  </si>
  <si>
    <t>12418 109th Ave</t>
  </si>
  <si>
    <t>155 Borden Ave</t>
  </si>
  <si>
    <t>333 Beach 32nd St</t>
  </si>
  <si>
    <t>3415 Parsons Blvd</t>
  </si>
  <si>
    <t>12929 Brookville Blvd</t>
  </si>
  <si>
    <t>7414 Rockaway Blvd</t>
  </si>
  <si>
    <t>5449 Almeda Ave</t>
  </si>
  <si>
    <t>2045 Shore Blvd</t>
  </si>
  <si>
    <t>4831 44th St</t>
  </si>
  <si>
    <t>14730 38th Ave</t>
  </si>
  <si>
    <t>11865 Metropolitan Ave</t>
  </si>
  <si>
    <t>4309 165th St</t>
  </si>
  <si>
    <t>5145 Almeda Ave</t>
  </si>
  <si>
    <t>139-06 34th Rd</t>
  </si>
  <si>
    <t>9150 191st St</t>
  </si>
  <si>
    <t>8914 34th Ave</t>
  </si>
  <si>
    <t>5124 Beach Channel Dr</t>
  </si>
  <si>
    <t>9229 Lamont Ave</t>
  </si>
  <si>
    <t>4055 College Point Blvd</t>
  </si>
  <si>
    <t>8805 171st St</t>
  </si>
  <si>
    <t>5505 103rd St</t>
  </si>
  <si>
    <t>7215 41st Ave</t>
  </si>
  <si>
    <t>21733 114th Rd</t>
  </si>
  <si>
    <t>8434 60th Ave</t>
  </si>
  <si>
    <t>9002 Silver Rd</t>
  </si>
  <si>
    <t>8645 Saint James Ave</t>
  </si>
  <si>
    <t>7508 Jamaica Ave</t>
  </si>
  <si>
    <t>1410 New Haven Ave</t>
  </si>
  <si>
    <t>17356 105th Ave</t>
  </si>
  <si>
    <t>11664 231st St</t>
  </si>
  <si>
    <t>14212 56th Rd</t>
  </si>
  <si>
    <t>9138 Lefferts Blvd</t>
  </si>
  <si>
    <t>8435 62nd Dr</t>
  </si>
  <si>
    <t>192-15A 69thAve</t>
  </si>
  <si>
    <t>18417 140th Ave</t>
  </si>
  <si>
    <t>15005 88th Ave</t>
  </si>
  <si>
    <t>3308 84th St</t>
  </si>
  <si>
    <t>9138 218th St</t>
  </si>
  <si>
    <t>879 Wyckoff Ave</t>
  </si>
  <si>
    <t>83-43 118 St</t>
  </si>
  <si>
    <t>403 Astoria Blvd</t>
  </si>
  <si>
    <t>5850 Saint Felix Ave</t>
  </si>
  <si>
    <t>22527 108th Ave</t>
  </si>
  <si>
    <t>453 Beach 40th St</t>
  </si>
  <si>
    <t>2448 Rockaway Fwy</t>
  </si>
  <si>
    <t>146 Beach 59th St</t>
  </si>
  <si>
    <t>6009 Metropolitan Ave</t>
  </si>
  <si>
    <t>9728 57th Ave</t>
  </si>
  <si>
    <t>4259 Bowne St</t>
  </si>
  <si>
    <t>19302 99th Ave</t>
  </si>
  <si>
    <t>8672 208th St</t>
  </si>
  <si>
    <t>11738 141st St</t>
  </si>
  <si>
    <t>376 Woodward ave</t>
  </si>
  <si>
    <t>10212 184th St</t>
  </si>
  <si>
    <t>7403 Myrtle Ave</t>
  </si>
  <si>
    <t>14133 79th Ave</t>
  </si>
  <si>
    <t>8501 101st St</t>
  </si>
  <si>
    <t>135 Beach 56th Pl</t>
  </si>
  <si>
    <t>9610 57th Ave</t>
  </si>
  <si>
    <t>6314 Woodhaven Blvd</t>
  </si>
  <si>
    <t>18310 144th Ave</t>
  </si>
  <si>
    <t>13606 58th Rd</t>
  </si>
  <si>
    <t>10645 156th St</t>
  </si>
  <si>
    <t>12703 Jamaica Ave</t>
  </si>
  <si>
    <t>9602 57th Ave</t>
  </si>
  <si>
    <t>22402 64th Ave</t>
  </si>
  <si>
    <t>17940 Selover Rd</t>
  </si>
  <si>
    <t>3239 107th St</t>
  </si>
  <si>
    <t>14518 34th Ave</t>
  </si>
  <si>
    <t>10609 Guy R Brewer Blvd</t>
  </si>
  <si>
    <t>19619 Jamaica Ave</t>
  </si>
  <si>
    <t>2333 32nd St</t>
  </si>
  <si>
    <t>2823 49th St</t>
  </si>
  <si>
    <t>183 Beach 122nd St</t>
  </si>
  <si>
    <t>314 Beach 86th St</t>
  </si>
  <si>
    <t>10317 90th St</t>
  </si>
  <si>
    <t>17841 145th Rd</t>
  </si>
  <si>
    <t>120 Beach 19th St</t>
  </si>
  <si>
    <t>121-31 Farmers Blvd</t>
  </si>
  <si>
    <t>5409 100th St</t>
  </si>
  <si>
    <t>11734 134th St</t>
  </si>
  <si>
    <t>10505 69th Ave</t>
  </si>
  <si>
    <t>3533 83rd St</t>
  </si>
  <si>
    <t>10676 97th St</t>
  </si>
  <si>
    <t>11830 153rd St</t>
  </si>
  <si>
    <t>309a Beach 73rd St</t>
  </si>
  <si>
    <t>634 Grassmere Ter</t>
  </si>
  <si>
    <t>11543 167th St</t>
  </si>
  <si>
    <t>8474 98th St</t>
  </si>
  <si>
    <t>9148 88th Rd</t>
  </si>
  <si>
    <t>11743 123rd St</t>
  </si>
  <si>
    <t>9132 117th St</t>
  </si>
  <si>
    <t>22617 146th Ave</t>
  </si>
  <si>
    <t>11836 227th St</t>
  </si>
  <si>
    <t>1006 Seneca Ave</t>
  </si>
  <si>
    <t>5005 Broadway</t>
  </si>
  <si>
    <t>7523 113th St</t>
  </si>
  <si>
    <t>15219 79th Ave</t>
  </si>
  <si>
    <t>11335 Farmers Blvd</t>
  </si>
  <si>
    <t>10702 Guy R Brewer Blvd</t>
  </si>
  <si>
    <t>9715 Horace Harding Expy</t>
  </si>
  <si>
    <t>8519 95th Ave</t>
  </si>
  <si>
    <t>18501 Hillside Ave</t>
  </si>
  <si>
    <t>4115 45th St</t>
  </si>
  <si>
    <t>1680 Jefferson Ave</t>
  </si>
  <si>
    <t>3455 91st St</t>
  </si>
  <si>
    <t>8948 Lefferts Blvd</t>
  </si>
  <si>
    <t>11239 Dillon St</t>
  </si>
  <si>
    <t>22016 Hempstead Ave</t>
  </si>
  <si>
    <t>21606 110th Ave</t>
  </si>
  <si>
    <t>2015 Palmetto St</t>
  </si>
  <si>
    <t>14844 89th Ave</t>
  </si>
  <si>
    <t>10704 159th st</t>
  </si>
  <si>
    <t>10219 186th St</t>
  </si>
  <si>
    <t>2229 Dix Ave</t>
  </si>
  <si>
    <t>15910 109th Ave</t>
  </si>
  <si>
    <t>8932 138th St</t>
  </si>
  <si>
    <t>127-09 89th Avenue, 2nd Floor, Middle Room</t>
  </si>
  <si>
    <t>9502 Liverpool St</t>
  </si>
  <si>
    <t>3211 85th St</t>
  </si>
  <si>
    <t>16403 89th Ave</t>
  </si>
  <si>
    <t>3324 91st St</t>
  </si>
  <si>
    <t>10445 164th St</t>
  </si>
  <si>
    <t>12102 Sutphin Blvd</t>
  </si>
  <si>
    <t>10230 Queens Blvd</t>
  </si>
  <si>
    <t>4222 Ketcham St</t>
  </si>
  <si>
    <t>21303 41st Ave</t>
  </si>
  <si>
    <t>11442 135th St</t>
  </si>
  <si>
    <t>9801 67th Ave</t>
  </si>
  <si>
    <t>12333 83rd Ave</t>
  </si>
  <si>
    <t>10702 Merrick Blvd</t>
  </si>
  <si>
    <t>15034 118th Ave</t>
  </si>
  <si>
    <t>12210 14th Ave</t>
  </si>
  <si>
    <t>15712 110th Ave</t>
  </si>
  <si>
    <t>17222 133rd Ave</t>
  </si>
  <si>
    <t>9823 Horace Harding Expy</t>
  </si>
  <si>
    <t>9036 149th St</t>
  </si>
  <si>
    <t>8715 37th Ave</t>
  </si>
  <si>
    <t>16508 116th Ave</t>
  </si>
  <si>
    <t>87-87st St</t>
  </si>
  <si>
    <t>10950 153rd St</t>
  </si>
  <si>
    <t>1650 Putnam Ave</t>
  </si>
  <si>
    <t>150 Beach 115th St</t>
  </si>
  <si>
    <t>17820 Selover Rd</t>
  </si>
  <si>
    <t>13034 125th St</t>
  </si>
  <si>
    <t>9832 57th Ave</t>
  </si>
  <si>
    <t>16814 127th Ave</t>
  </si>
  <si>
    <t>4717 45th St</t>
  </si>
  <si>
    <t>14962 254th St</t>
  </si>
  <si>
    <t>19123 109th Rd</t>
  </si>
  <si>
    <t>10707 157th St</t>
  </si>
  <si>
    <t>3266 80th St</t>
  </si>
  <si>
    <t>6336 98th Pl</t>
  </si>
  <si>
    <t>15508 110th Ave Bsmt</t>
  </si>
  <si>
    <t>6701 Kissena Blvd</t>
  </si>
  <si>
    <t>9034 205th St</t>
  </si>
  <si>
    <t>5159 47th St</t>
  </si>
  <si>
    <t>6215 Woodhaven Blvd</t>
  </si>
  <si>
    <t>17720 136th Ave</t>
  </si>
  <si>
    <t>13430 156th St</t>
  </si>
  <si>
    <t>9280 Holland Ave</t>
  </si>
  <si>
    <t>16105 Baisley Blvd</t>
  </si>
  <si>
    <t>8064 Cypress Ave</t>
  </si>
  <si>
    <t>719 Seneca Ave</t>
  </si>
  <si>
    <t>53-10 111th Street</t>
  </si>
  <si>
    <t>14439 230th St</t>
  </si>
  <si>
    <t>10615 Guy R Brewer Blvd</t>
  </si>
  <si>
    <t>109-26 Merrick Blvd</t>
  </si>
  <si>
    <t>16117 Horace Harding Expy</t>
  </si>
  <si>
    <t>8753 129th St</t>
  </si>
  <si>
    <t>22514 145th Ave</t>
  </si>
  <si>
    <t>7140 160th St</t>
  </si>
  <si>
    <t>9525 85th St</t>
  </si>
  <si>
    <t>5610 94th St</t>
  </si>
  <si>
    <t>12008 155th St</t>
  </si>
  <si>
    <t>16327 130th Ave</t>
  </si>
  <si>
    <t>9257 173rd St</t>
  </si>
  <si>
    <t>10759 159th St</t>
  </si>
  <si>
    <t>13415 166th Pl</t>
  </si>
  <si>
    <t>17401 110th Ave</t>
  </si>
  <si>
    <t>10454 164th St</t>
  </si>
  <si>
    <t>12941 133rd St</t>
  </si>
  <si>
    <t>7617 69th Pl</t>
  </si>
  <si>
    <t>10718 159th St</t>
  </si>
  <si>
    <t>3432 91st St</t>
  </si>
  <si>
    <t>24119 132nd Rd</t>
  </si>
  <si>
    <t>15546 84th St</t>
  </si>
  <si>
    <t>97-17</t>
  </si>
  <si>
    <t>2804 44th St</t>
  </si>
  <si>
    <t>9825 Horace Harding Expy</t>
  </si>
  <si>
    <t>6913 Central Ave</t>
  </si>
  <si>
    <t>482 Beach 44th St</t>
  </si>
  <si>
    <t>15402 119th Ave</t>
  </si>
  <si>
    <t>13449 166th pl</t>
  </si>
  <si>
    <t>10636 156th St</t>
  </si>
  <si>
    <t>10804 174th St</t>
  </si>
  <si>
    <t>16320 108th Ave</t>
  </si>
  <si>
    <t>7141 252nd Street  Apt.181B</t>
  </si>
  <si>
    <t>13138 132nd St</t>
  </si>
  <si>
    <t>6039 69th Ave</t>
  </si>
  <si>
    <t>6715 Dartmouth St</t>
  </si>
  <si>
    <t>3047 73rd St</t>
  </si>
  <si>
    <t>9720 57th Ave</t>
  </si>
  <si>
    <t>12410 9th Ave</t>
  </si>
  <si>
    <t>14445 41st Ave</t>
  </si>
  <si>
    <t>4306 46th St</t>
  </si>
  <si>
    <t>2542 14th PL</t>
  </si>
  <si>
    <t>9903 212th St</t>
  </si>
  <si>
    <t>3433 30th St</t>
  </si>
  <si>
    <t>125 Beach 17th St</t>
  </si>
  <si>
    <t>21620 113th Ave</t>
  </si>
  <si>
    <t>2251 Dix Ave</t>
  </si>
  <si>
    <t>7911 41st Ave</t>
  </si>
  <si>
    <t>2520 76th St</t>
  </si>
  <si>
    <t>10207 Jamaica Ave</t>
  </si>
  <si>
    <t>18305 141st Ave</t>
  </si>
  <si>
    <t>15023 114th Rd</t>
  </si>
  <si>
    <t>19029 Jamaica Ave</t>
  </si>
  <si>
    <t>3420 32nd St</t>
  </si>
  <si>
    <t>6524 Parsons Blvd</t>
  </si>
  <si>
    <t>11326 207th St</t>
  </si>
  <si>
    <t>5625 College Point Blvd</t>
  </si>
  <si>
    <t>15018 115th Dr</t>
  </si>
  <si>
    <t>12054 178th St</t>
  </si>
  <si>
    <t>14701 Hillside Ave</t>
  </si>
  <si>
    <t>8665 208th St</t>
  </si>
  <si>
    <t>10824 174th St</t>
  </si>
  <si>
    <t>7416 65th St</t>
  </si>
  <si>
    <t>10851 53rd Ave</t>
  </si>
  <si>
    <t>17743 105th Ave</t>
  </si>
  <si>
    <t>15608 107th Ave</t>
  </si>
  <si>
    <t>14801 Rockaway Blvd</t>
  </si>
  <si>
    <t>3777 88th St</t>
  </si>
  <si>
    <t>16339 130th Ave</t>
  </si>
  <si>
    <t>8805 Merrick Blvd</t>
  </si>
  <si>
    <t>15081 116th Rd</t>
  </si>
  <si>
    <t>4405 Macnish St</t>
  </si>
  <si>
    <t>7018 34th Ave Apt. 2B</t>
  </si>
  <si>
    <t>16611 144th Dr</t>
  </si>
  <si>
    <t>14848 88th Ave</t>
  </si>
  <si>
    <t>10246 185th St</t>
  </si>
  <si>
    <t>16111 137th Ave</t>
  </si>
  <si>
    <t>15904 Sanford Ave</t>
  </si>
  <si>
    <t>14439 158th St</t>
  </si>
  <si>
    <t>6740 Parsons Blvd</t>
  </si>
  <si>
    <t>2808 35th St</t>
  </si>
  <si>
    <t>17032 130th Ave</t>
  </si>
  <si>
    <t>16856 119th Ave</t>
  </si>
  <si>
    <t>4033 Aske St</t>
  </si>
  <si>
    <t>9425 57th Ave</t>
  </si>
  <si>
    <t>10714 Watson Pl</t>
  </si>
  <si>
    <t>9261 165th St</t>
  </si>
  <si>
    <t>8033 90th Rd</t>
  </si>
  <si>
    <t>3749 83rd St</t>
  </si>
  <si>
    <t>6901 174th St</t>
  </si>
  <si>
    <t>10718 156TH ST</t>
  </si>
  <si>
    <t>1731 Stephen Street</t>
  </si>
  <si>
    <t>10047 200th St</t>
  </si>
  <si>
    <t>8614 78th St</t>
  </si>
  <si>
    <t>11119 43rd Ave</t>
  </si>
  <si>
    <t>16347 130th Ave</t>
  </si>
  <si>
    <t>4317 48th St</t>
  </si>
  <si>
    <t>3731 Crescent St</t>
  </si>
  <si>
    <t>5707 Shore Front Pkwy</t>
  </si>
  <si>
    <t>15007 111th Rd</t>
  </si>
  <si>
    <t>11406 Bedell St</t>
  </si>
  <si>
    <t>10630 159th St</t>
  </si>
  <si>
    <t>11431 157th St</t>
  </si>
  <si>
    <t>5127 Codwise Pl</t>
  </si>
  <si>
    <t>8806 Pasons Blvd</t>
  </si>
  <si>
    <t>17024 130th ave</t>
  </si>
  <si>
    <t>11631 169th St</t>
  </si>
  <si>
    <t>8345 Broadway</t>
  </si>
  <si>
    <t>410a Beach 25th St</t>
  </si>
  <si>
    <t>8819 193rd St</t>
  </si>
  <si>
    <t>14947 124th St</t>
  </si>
  <si>
    <t>10325 123rd St</t>
  </si>
  <si>
    <t>11920 Union Tpke</t>
  </si>
  <si>
    <t>3457 72nd St</t>
  </si>
  <si>
    <t>6530 Parsons Blvd</t>
  </si>
  <si>
    <t>210 27th Ave</t>
  </si>
  <si>
    <t>3415 74th St</t>
  </si>
  <si>
    <t>13751 Hook Creek Blvd</t>
  </si>
  <si>
    <t>24615 137th Ave</t>
  </si>
  <si>
    <t>2649 96th st</t>
  </si>
  <si>
    <t>17915 69th Ave</t>
  </si>
  <si>
    <t>6509 99th St</t>
  </si>
  <si>
    <t>5812 Queens Blvd</t>
  </si>
  <si>
    <t>11907 101st Ave</t>
  </si>
  <si>
    <t>11910 94th Ave</t>
  </si>
  <si>
    <t>15315 107th Ave</t>
  </si>
  <si>
    <t>16230 Powells Cove Blvd</t>
  </si>
  <si>
    <t>3316 112th St</t>
  </si>
  <si>
    <t>8766 110th St</t>
  </si>
  <si>
    <t>16311 Sanford Ave</t>
  </si>
  <si>
    <t>12002 Sutphin Blvd</t>
  </si>
  <si>
    <t>8050 Baxter Ave</t>
  </si>
  <si>
    <t>10114 134th St</t>
  </si>
  <si>
    <t>6402 Eliot Ave</t>
  </si>
  <si>
    <t>11904 95th Ave</t>
  </si>
  <si>
    <t>14308 Roosevelt Ave</t>
  </si>
  <si>
    <t>8396 118th st</t>
  </si>
  <si>
    <t>5715 Shore Front Pkwy</t>
  </si>
  <si>
    <t>10414 171st St</t>
  </si>
  <si>
    <t>11018 Sutphin Blvd</t>
  </si>
  <si>
    <t>16640 88th Ave</t>
  </si>
  <si>
    <t>9710 Northern Blvd</t>
  </si>
  <si>
    <t>10715 89th St</t>
  </si>
  <si>
    <t>190 Beach 27th St</t>
  </si>
  <si>
    <t>1243 117th St</t>
  </si>
  <si>
    <t>8806 Parsons Blvd</t>
  </si>
  <si>
    <t>438 Beach 40th Street</t>
  </si>
  <si>
    <t>13518 130th Pl</t>
  </si>
  <si>
    <t>3734 98th St</t>
  </si>
  <si>
    <t>2569 35th St</t>
  </si>
  <si>
    <t>8725 115th St</t>
  </si>
  <si>
    <t>4210 colden st</t>
  </si>
  <si>
    <t>24316 145th Ave</t>
  </si>
  <si>
    <t>217-88 Hemstead Avenue</t>
  </si>
  <si>
    <t>3313 103rd St</t>
  </si>
  <si>
    <t>12403 149th Ave</t>
  </si>
  <si>
    <t>8425 85th Rd</t>
  </si>
  <si>
    <t>6550 Wetherole St</t>
  </si>
  <si>
    <t>9742 104th St</t>
  </si>
  <si>
    <t>5525 48th Pl</t>
  </si>
  <si>
    <t>9119 172nd St</t>
  </si>
  <si>
    <t>13955 35th Ave</t>
  </si>
  <si>
    <t>13445 166th Pl</t>
  </si>
  <si>
    <t>9133 89th St</t>
  </si>
  <si>
    <t>2111 College Point Blvd</t>
  </si>
  <si>
    <t>13318 145th St</t>
  </si>
  <si>
    <t>7821 90th Rd</t>
  </si>
  <si>
    <t>3019 Bessemund Ave</t>
  </si>
  <si>
    <t>1361 Pinson St</t>
  </si>
  <si>
    <t>2510 30th Rd</t>
  </si>
  <si>
    <t>14745 109th Ave</t>
  </si>
  <si>
    <t>8724 Midland Pkwy</t>
  </si>
  <si>
    <t>8015 41st ave</t>
  </si>
  <si>
    <t>9330 Lamont Ave</t>
  </si>
  <si>
    <t>141 Beach 56th Pl</t>
  </si>
  <si>
    <t>4730 61st St</t>
  </si>
  <si>
    <t>7830 81st St</t>
  </si>
  <si>
    <t>7036 65th Pl</t>
  </si>
  <si>
    <t>13720 45th Ave</t>
  </si>
  <si>
    <t>1821 Menahan St</t>
  </si>
  <si>
    <t>20-04 31st Ave</t>
  </si>
  <si>
    <t>6812 Yellowstone Blvd</t>
  </si>
  <si>
    <t>3215 34th St</t>
  </si>
  <si>
    <t>19440a 64th Ave</t>
  </si>
  <si>
    <t>21915 145th Ave</t>
  </si>
  <si>
    <t>4094 Denman St</t>
  </si>
  <si>
    <t>23418 147th Ave</t>
  </si>
  <si>
    <t>2649 96th St</t>
  </si>
  <si>
    <t>115-71 155th St.</t>
  </si>
  <si>
    <t>10628 Union Hall St</t>
  </si>
  <si>
    <t>9033 Eldert Ln</t>
  </si>
  <si>
    <t>17836 Wexford Ter</t>
  </si>
  <si>
    <t>23918 148th Rd</t>
  </si>
  <si>
    <t>9416 34th Rd</t>
  </si>
  <si>
    <t>3530 153rd St</t>
  </si>
  <si>
    <t>311 Onderdonk Ave</t>
  </si>
  <si>
    <t>15110 35th Ave</t>
  </si>
  <si>
    <t>9112 175th St</t>
  </si>
  <si>
    <t>3441 42nd St</t>
  </si>
  <si>
    <t>2919 Lewmay Rd</t>
  </si>
  <si>
    <t>14445 35th Ave</t>
  </si>
  <si>
    <t>543 47th Ave</t>
  </si>
  <si>
    <t>4706 48th Ave</t>
  </si>
  <si>
    <t>19524 Jamaica Ave</t>
  </si>
  <si>
    <t>10134 121st St</t>
  </si>
  <si>
    <t>11109 76th Rd</t>
  </si>
  <si>
    <t>15048 75th Ave</t>
  </si>
  <si>
    <t>22309 65th Ave</t>
  </si>
  <si>
    <t>14220 Franklin Ave</t>
  </si>
  <si>
    <t>8858 76th St</t>
  </si>
  <si>
    <t>6706 Myrtle Ave</t>
  </si>
  <si>
    <t>3420 137th St</t>
  </si>
  <si>
    <t>10205 Jamaica Ave</t>
  </si>
  <si>
    <t>12603 115th Ave</t>
  </si>
  <si>
    <t>7002 Parsons Blvd</t>
  </si>
  <si>
    <t>9017 198th St</t>
  </si>
  <si>
    <t>10204 89th St</t>
  </si>
  <si>
    <t>10242 63rd Rd</t>
  </si>
  <si>
    <t>16339 130th ave</t>
  </si>
  <si>
    <t>3530 94th St</t>
  </si>
  <si>
    <t>17214 133rd Ave</t>
  </si>
  <si>
    <t>10780 160th St</t>
  </si>
  <si>
    <t>17930 143rd Rd</t>
  </si>
  <si>
    <t>25126 Northern Blvd</t>
  </si>
  <si>
    <t>3750 76th St</t>
  </si>
  <si>
    <t>2449 33rd St</t>
  </si>
  <si>
    <t>10525 88th St</t>
  </si>
  <si>
    <t>4325 Hunter St</t>
  </si>
  <si>
    <t>6576 162nd St</t>
  </si>
  <si>
    <t>1975 80th St</t>
  </si>
  <si>
    <t>11222 Rockaway Beach Blvd</t>
  </si>
  <si>
    <t>10606 160th St</t>
  </si>
  <si>
    <t>21002 93rd Ave</t>
  </si>
  <si>
    <t>10230 213th St</t>
  </si>
  <si>
    <t>19104 Jamaica Ave</t>
  </si>
  <si>
    <t>12624 Old South Rd</t>
  </si>
  <si>
    <t>13523 82nd Ave</t>
  </si>
  <si>
    <t>1047 47th Ave</t>
  </si>
  <si>
    <t>3267 48th St</t>
  </si>
  <si>
    <t>4011 60th St</t>
  </si>
  <si>
    <t>2624 3rd St</t>
  </si>
  <si>
    <t>10429 171st St</t>
  </si>
  <si>
    <t>10123 90th St</t>
  </si>
  <si>
    <t>10703 Waltham St</t>
  </si>
  <si>
    <t>21814 Spencer Ave</t>
  </si>
  <si>
    <t>14168 85th Rd</t>
  </si>
  <si>
    <t>11926 196th St</t>
  </si>
  <si>
    <t>15840 Jewel Ave</t>
  </si>
  <si>
    <t>9213 76th St</t>
  </si>
  <si>
    <t>2079 32nd St</t>
  </si>
  <si>
    <t>9714 104th St</t>
  </si>
  <si>
    <t>16104 Jewel Ave</t>
  </si>
  <si>
    <t>13419 166th Pl</t>
  </si>
  <si>
    <t>16019 122nd Ave</t>
  </si>
  <si>
    <t>25911 149th Ave</t>
  </si>
  <si>
    <t>7525 153rd St</t>
  </si>
  <si>
    <t>4308 40th St</t>
  </si>
  <si>
    <t>9134 195th St</t>
  </si>
  <si>
    <t>112 Beach 59th St</t>
  </si>
  <si>
    <t>711C Seagirt Ave</t>
  </si>
  <si>
    <t>11215 Dillon St</t>
  </si>
  <si>
    <t>10927 155th St</t>
  </si>
  <si>
    <t>18723 Hillside Ave</t>
  </si>
  <si>
    <t>8821 Vanderweer Street</t>
  </si>
  <si>
    <t>9118 86th St</t>
  </si>
  <si>
    <t>10511 Farmers Blvd</t>
  </si>
  <si>
    <t>5926 48th Ave</t>
  </si>
  <si>
    <t>6615 Wetherole St</t>
  </si>
  <si>
    <t>9730 57th Ave</t>
  </si>
  <si>
    <t>16606 75th Ave</t>
  </si>
  <si>
    <t>1870 211th St</t>
  </si>
  <si>
    <t>3216 137th St</t>
  </si>
  <si>
    <t>2526 44th St</t>
  </si>
  <si>
    <t>3613 Greenpoint Ave</t>
  </si>
  <si>
    <t>1415 Mott Ave</t>
  </si>
  <si>
    <t>5149 Almeda Ave</t>
  </si>
  <si>
    <t>15516 Cherry Ave</t>
  </si>
  <si>
    <t>11950 165th St</t>
  </si>
  <si>
    <t>2211 New Haven Ave</t>
  </si>
  <si>
    <t>18709 Linden Blvd</t>
  </si>
  <si>
    <t>8435 Lander St</t>
  </si>
  <si>
    <t>3519 161st St</t>
  </si>
  <si>
    <t>8624 80th St</t>
  </si>
  <si>
    <t>10420 68th Dr</t>
  </si>
  <si>
    <t>11604 Liberty Ave</t>
  </si>
  <si>
    <t>12001 142nd St</t>
  </si>
  <si>
    <t>3420 78TH St</t>
  </si>
  <si>
    <t>3551 95th St</t>
  </si>
  <si>
    <t>1731 Cornelia St</t>
  </si>
  <si>
    <t>6006 60th Dr</t>
  </si>
  <si>
    <t>21005 43rd Ave</t>
  </si>
  <si>
    <t>18501 Hilburn Ave</t>
  </si>
  <si>
    <t>23210 Hillside Ave</t>
  </si>
  <si>
    <t>711D Seagirt Ave</t>
  </si>
  <si>
    <t>4466 21st St</t>
  </si>
  <si>
    <t>711 Seagirt Avenue</t>
  </si>
  <si>
    <t>16212 95th St</t>
  </si>
  <si>
    <t>11636 141st St</t>
  </si>
  <si>
    <t>120 37 167th st</t>
  </si>
  <si>
    <t>6505 Yellowstone Blvd</t>
  </si>
  <si>
    <t>7337 66th Rd</t>
  </si>
  <si>
    <t>3133 90th St</t>
  </si>
  <si>
    <t>1321 Mcbride St</t>
  </si>
  <si>
    <t>3330 103rd St</t>
  </si>
  <si>
    <t>3726 65th St</t>
  </si>
  <si>
    <t>19215b 69th Ave</t>
  </si>
  <si>
    <t>25766 145th Ave</t>
  </si>
  <si>
    <t>2590 35th St</t>
  </si>
  <si>
    <t>7121 65th St</t>
  </si>
  <si>
    <t>312 Beach 15th St</t>
  </si>
  <si>
    <t>10460 Queens Blvd</t>
  </si>
  <si>
    <t>4216 80th St</t>
  </si>
  <si>
    <t>3721 80th St</t>
  </si>
  <si>
    <t>1353 Pinson St</t>
  </si>
  <si>
    <t>14454 35th Ave</t>
  </si>
  <si>
    <t>2049 Seagirt Blvd</t>
  </si>
  <si>
    <t>3727 86th St</t>
  </si>
  <si>
    <t>120 Beach 26th St</t>
  </si>
  <si>
    <t>1115 46th Rd</t>
  </si>
  <si>
    <t>5904 Stephen St</t>
  </si>
  <si>
    <t>7582 177th St</t>
  </si>
  <si>
    <t>1415 Mott Ave Apt 4</t>
  </si>
  <si>
    <t>4746 40th St</t>
  </si>
  <si>
    <t>711C Seagirt Arve</t>
  </si>
  <si>
    <t>11880 Metropolitan Ave</t>
  </si>
  <si>
    <t>1450 Gateway Blvd</t>
  </si>
  <si>
    <t>21879 98th Ave</t>
  </si>
  <si>
    <t>360 Beach 88th St</t>
  </si>
  <si>
    <t>11644 217th St</t>
  </si>
  <si>
    <t>7212 Dismas Blvd.</t>
  </si>
  <si>
    <t>4124 45th St</t>
  </si>
  <si>
    <t>3608 192nd St</t>
  </si>
  <si>
    <t>1015 Bay 31st St</t>
  </si>
  <si>
    <t>3774 33rd St</t>
  </si>
  <si>
    <t>2448 rockaway fwy</t>
  </si>
  <si>
    <t>5409 Almeda Ave</t>
  </si>
  <si>
    <t>443 Beach 67th St</t>
  </si>
  <si>
    <t>17411 Sayres Ave</t>
  </si>
  <si>
    <t>10049 200th St</t>
  </si>
  <si>
    <t>8912 183rd St</t>
  </si>
  <si>
    <t>8019 88th Ave</t>
  </si>
  <si>
    <t>9719 Lefferts Blvd</t>
  </si>
  <si>
    <t>4135 53rd St</t>
  </si>
  <si>
    <t>10232 45th Ave</t>
  </si>
  <si>
    <t>3920 205th St</t>
  </si>
  <si>
    <t>14444 41st Ave</t>
  </si>
  <si>
    <t>5811 155th st</t>
  </si>
  <si>
    <t>13234 41st Ave</t>
  </si>
  <si>
    <t>15034 27th Ave</t>
  </si>
  <si>
    <t>3056 30th St</t>
  </si>
  <si>
    <t>2719 44th Dr</t>
  </si>
  <si>
    <t>9405 133rd St</t>
  </si>
  <si>
    <t>538 Beach 68th st</t>
  </si>
  <si>
    <t>139 Beach 26th St</t>
  </si>
  <si>
    <t>14939 88th St</t>
  </si>
  <si>
    <t>3121 Ditmars Blvd</t>
  </si>
  <si>
    <t>22907 56th Ave</t>
  </si>
  <si>
    <t>128 Beach 26th St</t>
  </si>
  <si>
    <t>2245 Dix Ave</t>
  </si>
  <si>
    <t>640 Beach 69th St</t>
  </si>
  <si>
    <t>2237 Dix Ave</t>
  </si>
  <si>
    <t>2932 Beach Channel Dr</t>
  </si>
  <si>
    <t>382 Beach 25th St</t>
  </si>
  <si>
    <t>11555 208th St</t>
  </si>
  <si>
    <t>18805 Linden Blvd</t>
  </si>
  <si>
    <t>11640 Guy R Brewer Blvd</t>
  </si>
  <si>
    <t>8907 139th St</t>
  </si>
  <si>
    <t>13740 45th Ave</t>
  </si>
  <si>
    <t>14430 Roosevelt Ave</t>
  </si>
  <si>
    <t>14011 Ash Ave</t>
  </si>
  <si>
    <t>2610 18th St</t>
  </si>
  <si>
    <t>21810 Spencer Ave</t>
  </si>
  <si>
    <t>14210 Roosevelt Ave</t>
  </si>
  <si>
    <t>3511 Linden Pl</t>
  </si>
  <si>
    <t>3115 95th St Bsmt</t>
  </si>
  <si>
    <t>8802 Little Neck Pkwy</t>
  </si>
  <si>
    <t>14152 85th Rd</t>
  </si>
  <si>
    <t>1853 Madison St</t>
  </si>
  <si>
    <t>14224 38th Ave</t>
  </si>
  <si>
    <t>2944 Beach Channel Dr</t>
  </si>
  <si>
    <t>25353 149th Ave</t>
  </si>
  <si>
    <t>2742 Mcintosh St</t>
  </si>
  <si>
    <t>17545 88th Ave</t>
  </si>
  <si>
    <t>13317 Sanford Ave</t>
  </si>
  <si>
    <t>8380 118th St</t>
  </si>
  <si>
    <t>135 Beach 19th St</t>
  </si>
  <si>
    <t>15109 34th Ave</t>
  </si>
  <si>
    <t>14858 87th Rd</t>
  </si>
  <si>
    <t>11917 111th Ave</t>
  </si>
  <si>
    <t>316 Beach 101st St</t>
  </si>
  <si>
    <t>421 Astoria Blvd</t>
  </si>
  <si>
    <t>12-25 118th Street</t>
  </si>
  <si>
    <t>14074 34th Ave</t>
  </si>
  <si>
    <t>3402 153rd St</t>
  </si>
  <si>
    <t>11406 167th St</t>
  </si>
  <si>
    <t>11 West 10th Broad Channel</t>
  </si>
  <si>
    <t>12640 149th St</t>
  </si>
  <si>
    <t>10825 Jamaica Ave</t>
  </si>
  <si>
    <t>4035 67th St</t>
  </si>
  <si>
    <t>3510 75th St</t>
  </si>
  <si>
    <t>2242 Nameoke Ave</t>
  </si>
  <si>
    <t>8285 116th St</t>
  </si>
  <si>
    <t>14978 Weller Ln</t>
  </si>
  <si>
    <t>7311 217th St</t>
  </si>
  <si>
    <t>3353 82nd St</t>
  </si>
  <si>
    <t>2280 Jaydee Ct</t>
  </si>
  <si>
    <t>10049 198th St</t>
  </si>
  <si>
    <t>9037 Pitkin Ave</t>
  </si>
  <si>
    <t>9728 76th St</t>
  </si>
  <si>
    <t>4907 43rd Ave</t>
  </si>
  <si>
    <t>4351 165th St</t>
  </si>
  <si>
    <t>3714 32nd St</t>
  </si>
  <si>
    <t>22129 90th Ave</t>
  </si>
  <si>
    <t>3620 Parsons Blvd</t>
  </si>
  <si>
    <t>4110 Bowne St</t>
  </si>
  <si>
    <t>1384 Mcbride St</t>
  </si>
  <si>
    <t>6560 Booth St</t>
  </si>
  <si>
    <t>133 Beach 56th Pl</t>
  </si>
  <si>
    <t>11539 135th St</t>
  </si>
  <si>
    <t>11204 167th St</t>
  </si>
  <si>
    <t>3546 65th St</t>
  </si>
  <si>
    <t>2540 23rd St</t>
  </si>
  <si>
    <t>1511 Cooper Ave</t>
  </si>
  <si>
    <t>4135 149th St</t>
  </si>
  <si>
    <t>14571 157th St</t>
  </si>
  <si>
    <t>10649 Princeton St</t>
  </si>
  <si>
    <t>711A Seagirt Ave</t>
  </si>
  <si>
    <t>119 Beach 56th Pl</t>
  </si>
  <si>
    <t>4001 10th St</t>
  </si>
  <si>
    <t>6142 Madison St</t>
  </si>
  <si>
    <t>15010 Yates Rd</t>
  </si>
  <si>
    <t>10469 88th Ave</t>
  </si>
  <si>
    <t>513 Fairview Ave</t>
  </si>
  <si>
    <t>16319 Phroane Ave</t>
  </si>
  <si>
    <t>10412 105th St</t>
  </si>
  <si>
    <t>9912 65th Rd</t>
  </si>
  <si>
    <t>22404 67th Ave</t>
  </si>
  <si>
    <t>4111 Parsons Blvd</t>
  </si>
  <si>
    <t>1011 Nameoke St</t>
  </si>
  <si>
    <t>3541 94th St</t>
  </si>
  <si>
    <t>10135 Woodhaven Blvd</t>
  </si>
  <si>
    <t>5301 32nd Ave</t>
  </si>
  <si>
    <t>5731 Waldron St</t>
  </si>
  <si>
    <t>11417 166th St</t>
  </si>
  <si>
    <t>124 Beach 31st St</t>
  </si>
  <si>
    <t>9711 Alstyne Ave</t>
  </si>
  <si>
    <t>12220 Ocean Promenade</t>
  </si>
  <si>
    <t>4001 12th St</t>
  </si>
  <si>
    <t>9805 67th Ave</t>
  </si>
  <si>
    <t>6071 67th Ave</t>
  </si>
  <si>
    <t>8105 Hammels Blvd</t>
  </si>
  <si>
    <t>8405 164th St</t>
  </si>
  <si>
    <t>10216 215th St</t>
  </si>
  <si>
    <t>4610 Crane St</t>
  </si>
  <si>
    <t>16414 109th Ave</t>
  </si>
  <si>
    <t>6929 60th Ave</t>
  </si>
  <si>
    <t>3507 147th St</t>
  </si>
  <si>
    <t>6344 Haring St</t>
  </si>
  <si>
    <t>6822 Fleet St</t>
  </si>
  <si>
    <t>12644 149th St</t>
  </si>
  <si>
    <t>160-12 Foch Blvd</t>
  </si>
  <si>
    <t>9126 78th St</t>
  </si>
  <si>
    <t>4104 12th St</t>
  </si>
  <si>
    <t>2024 Greene Ave</t>
  </si>
  <si>
    <t>14009 14th Ave</t>
  </si>
  <si>
    <t>87-14 129th Street</t>
  </si>
  <si>
    <t>10448 46th Ave</t>
  </si>
  <si>
    <t>18624 104th Ave</t>
  </si>
  <si>
    <t>8920 101st Ave</t>
  </si>
  <si>
    <t>15612 71st Ave</t>
  </si>
  <si>
    <t>3923 48th St</t>
  </si>
  <si>
    <t>7314 198th St</t>
  </si>
  <si>
    <t>551 Grandview Ave</t>
  </si>
  <si>
    <t>11132 76th Ave</t>
  </si>
  <si>
    <t>9723 76th St</t>
  </si>
  <si>
    <t>8025 Parsons Blvd</t>
  </si>
  <si>
    <t>171-04 Baisley Blvd</t>
  </si>
  <si>
    <t>14907 Hook Creek Blvd</t>
  </si>
  <si>
    <t>3072 45th St</t>
  </si>
  <si>
    <t>12604 89th Ave</t>
  </si>
  <si>
    <t>5155 Van Kleeck St</t>
  </si>
  <si>
    <t>7035 153RD ST</t>
  </si>
  <si>
    <t>1626 Madison St</t>
  </si>
  <si>
    <t>7509 61st St</t>
  </si>
  <si>
    <t>134-49 166 Place</t>
  </si>
  <si>
    <t>4237 Hampton St</t>
  </si>
  <si>
    <t>7430 62nd St</t>
  </si>
  <si>
    <t>8931 Rutledge Ave</t>
  </si>
  <si>
    <t>13337 41st Rd</t>
  </si>
  <si>
    <t>4305 Forley St</t>
  </si>
  <si>
    <t>1728 Stephen St</t>
  </si>
  <si>
    <t>10646 Guy R Brewer Blvd</t>
  </si>
  <si>
    <t>16716 Linden Blvd</t>
  </si>
  <si>
    <t>116 36 169th st</t>
  </si>
  <si>
    <t>4215 81st St</t>
  </si>
  <si>
    <t>17040 130th Ave</t>
  </si>
  <si>
    <t>1323 Mcbride St</t>
  </si>
  <si>
    <t>13338 132nd St</t>
  </si>
  <si>
    <t>15941 98th St</t>
  </si>
  <si>
    <t>10111 159th Ave</t>
  </si>
  <si>
    <t>19439 113th Rd</t>
  </si>
  <si>
    <t>6415 83rd Pl</t>
  </si>
  <si>
    <t>13849 Elder Ave</t>
  </si>
  <si>
    <t>3122 42nd St</t>
  </si>
  <si>
    <t>15940 Highland Ave</t>
  </si>
  <si>
    <t>9406 34th Ave</t>
  </si>
  <si>
    <t>14071 Ash Ave</t>
  </si>
  <si>
    <t>9420 Astoria Blvd</t>
  </si>
  <si>
    <t>3715 72nd St</t>
  </si>
  <si>
    <t>2516 87th St</t>
  </si>
  <si>
    <t>6446 Madison St</t>
  </si>
  <si>
    <t>13437 166th PL</t>
  </si>
  <si>
    <t>4416 Macnish St</t>
  </si>
  <si>
    <t>15521 Jewel Ace</t>
  </si>
  <si>
    <t>3244 106th St</t>
  </si>
  <si>
    <t>3734 84th St</t>
  </si>
  <si>
    <t>10319 91st St</t>
  </si>
  <si>
    <t>3059 34th St</t>
  </si>
  <si>
    <t>17210 133rd Ave</t>
  </si>
  <si>
    <t>3528 48th St</t>
  </si>
  <si>
    <t>2506 47th St</t>
  </si>
  <si>
    <t>6019 62nd Ave</t>
  </si>
  <si>
    <t>5733 59th St</t>
  </si>
  <si>
    <t>21710 100th Ave</t>
  </si>
  <si>
    <t>14478 177th St</t>
  </si>
  <si>
    <t>6017 56th Rd</t>
  </si>
  <si>
    <t>4115 50th Ave</t>
  </si>
  <si>
    <t>1347 Mcbride St</t>
  </si>
  <si>
    <t>11160 Lefferts Blvd</t>
  </si>
  <si>
    <t>3733 61st St</t>
  </si>
  <si>
    <t>7108 Parsons Blvd</t>
  </si>
  <si>
    <t>22289 Braddock Ave</t>
  </si>
  <si>
    <t>8239 242nd St</t>
  </si>
  <si>
    <t>17205 109th Ave</t>
  </si>
  <si>
    <t>16840 127th Ave</t>
  </si>
  <si>
    <t>8132 Margaret Pl</t>
  </si>
  <si>
    <t>14070 Ash Ave</t>
  </si>
  <si>
    <t>6554 Austin St</t>
  </si>
  <si>
    <t>1913 Linden St</t>
  </si>
  <si>
    <t>15910 71st Ave</t>
  </si>
  <si>
    <t>9276 Holland Ave</t>
  </si>
  <si>
    <t>11949 165th St</t>
  </si>
  <si>
    <t>11611 157th St</t>
  </si>
  <si>
    <t>12613 101st Ave</t>
  </si>
  <si>
    <t>6706 64th St</t>
  </si>
  <si>
    <t>2246 79th St</t>
  </si>
  <si>
    <t>3329 108th St</t>
  </si>
  <si>
    <t>3165 29th St</t>
  </si>
  <si>
    <t>10921 167th St</t>
  </si>
  <si>
    <t>3024 70th St</t>
  </si>
  <si>
    <t>10204 184th St</t>
  </si>
  <si>
    <t>13245 85th St</t>
  </si>
  <si>
    <t>6011 Madison St</t>
  </si>
  <si>
    <t>11126 169th St</t>
  </si>
  <si>
    <t>10454 Springfield Blvd</t>
  </si>
  <si>
    <t>9121 195th St</t>
  </si>
  <si>
    <t>14102 Pershing Cres</t>
  </si>
  <si>
    <t>8615 97th Ave</t>
  </si>
  <si>
    <t>10504 95th Ave</t>
  </si>
  <si>
    <t>10312 112th St</t>
  </si>
  <si>
    <t>6556 Parsons Blvd</t>
  </si>
  <si>
    <t>4737 45th St</t>
  </si>
  <si>
    <t>14809 90th Ave</t>
  </si>
  <si>
    <t>5055 42nd St</t>
  </si>
  <si>
    <t>3405 12TH ST</t>
  </si>
  <si>
    <t>324 Beach 63rd Ar</t>
  </si>
  <si>
    <t>9531 90th St</t>
  </si>
  <si>
    <t>17132 108th Ave</t>
  </si>
  <si>
    <t>15035 118th Ave</t>
  </si>
  <si>
    <t>4165 Forley St</t>
  </si>
  <si>
    <t>5611 94th St</t>
  </si>
  <si>
    <t>13261 Sanford Ave</t>
  </si>
  <si>
    <t>13418 221st St</t>
  </si>
  <si>
    <t>11524 168th St</t>
  </si>
  <si>
    <t>2403 41st St</t>
  </si>
  <si>
    <t>10330 115th St</t>
  </si>
  <si>
    <t>3213 112th St</t>
  </si>
  <si>
    <t>8823 184th St</t>
  </si>
  <si>
    <t>10502 Northern Blvd</t>
  </si>
  <si>
    <t>11512 168th St</t>
  </si>
  <si>
    <t>12327 Merrick Blvd</t>
  </si>
  <si>
    <t>7711 Park Dr E</t>
  </si>
  <si>
    <t>12117 196th St</t>
  </si>
  <si>
    <t>16844 127th Ave</t>
  </si>
  <si>
    <t>11819 153rd St</t>
  </si>
  <si>
    <t>15804 Sanford Ave</t>
  </si>
  <si>
    <t>22116 Murdock Ave</t>
  </si>
  <si>
    <t>14666 Springfield Ln</t>
  </si>
  <si>
    <t>10850 171st Pl</t>
  </si>
  <si>
    <t>8915 102nd St</t>
  </si>
  <si>
    <t>14050 Guy R Brewer Blvd</t>
  </si>
  <si>
    <t>16326 110th Rd</t>
  </si>
  <si>
    <t>11421 208th St</t>
  </si>
  <si>
    <t>14809 160th ave</t>
  </si>
  <si>
    <t>8750 111th St</t>
  </si>
  <si>
    <t>3070 34th St</t>
  </si>
  <si>
    <t>16329 130th Ave</t>
  </si>
  <si>
    <t>6205 Woodhaven Blvd</t>
  </si>
  <si>
    <t>11427 196th St</t>
  </si>
  <si>
    <t>15901 110th Ave</t>
  </si>
  <si>
    <t>15533 Linden Blvd</t>
  </si>
  <si>
    <t>1368 Eggert Pl</t>
  </si>
  <si>
    <t>6217 60th St</t>
  </si>
  <si>
    <t>16337 130th ave</t>
  </si>
  <si>
    <t>9075 179th St</t>
  </si>
  <si>
    <t>21605 Hollis Ave</t>
  </si>
  <si>
    <t>11216 Rockaway Beach Blvd</t>
  </si>
  <si>
    <t>309 Beach 85th St</t>
  </si>
  <si>
    <t>9576 115th St</t>
  </si>
  <si>
    <t>6922 Caldwell Ave</t>
  </si>
  <si>
    <t>68-10 Grand Avenue</t>
  </si>
  <si>
    <t>11122 160th St</t>
  </si>
  <si>
    <t>13630 Sanford Ave</t>
  </si>
  <si>
    <t>18639 140th Ave</t>
  </si>
  <si>
    <t>4210 82nd St</t>
  </si>
  <si>
    <t>10201 163rd Rd</t>
  </si>
  <si>
    <t>171 Beach 91st St</t>
  </si>
  <si>
    <t>3074 33rd St</t>
  </si>
  <si>
    <t>8049 88th Rd</t>
  </si>
  <si>
    <t>8620 208th St</t>
  </si>
  <si>
    <t>8761 116th St</t>
  </si>
  <si>
    <t>25319 139th Ave</t>
  </si>
  <si>
    <t>9716 101st Ave</t>
  </si>
  <si>
    <t>11629 171st St</t>
  </si>
  <si>
    <t>3237 105th St</t>
  </si>
  <si>
    <t>10601 142nd St</t>
  </si>
  <si>
    <t>3760 98th St</t>
  </si>
  <si>
    <t>9817 Horace Harding Expy</t>
  </si>
  <si>
    <t>8764 115th St</t>
  </si>
  <si>
    <t>9410 64th Rd</t>
  </si>
  <si>
    <t>6946 Almeda Ave</t>
  </si>
  <si>
    <t>146-41 105th Ave</t>
  </si>
  <si>
    <t>12949 157th St</t>
  </si>
  <si>
    <t>11634 Merrick Blvd</t>
  </si>
  <si>
    <t>11619 Sutphin Blvd</t>
  </si>
  <si>
    <t>21471 Jamaica Ave</t>
  </si>
  <si>
    <t>67-50 Thomton Place</t>
  </si>
  <si>
    <t>7905 Elks Rd</t>
  </si>
  <si>
    <t>3238 83rd St</t>
  </si>
  <si>
    <t>3422 105th St</t>
  </si>
  <si>
    <t>9722 57th Ave</t>
  </si>
  <si>
    <t>1253 120th St</t>
  </si>
  <si>
    <t>11455 144th St</t>
  </si>
  <si>
    <t>9446 85th Rd</t>
  </si>
  <si>
    <t>3519 12th St</t>
  </si>
  <si>
    <t>6737 Kissena Blvd</t>
  </si>
  <si>
    <t>13926 182nd St</t>
  </si>
  <si>
    <t>129 Westend Ave</t>
  </si>
  <si>
    <t>13340 Roosevelt Ave</t>
  </si>
  <si>
    <t>7714 113th St</t>
  </si>
  <si>
    <t>8443 130th St</t>
  </si>
  <si>
    <t>11111 227th St</t>
  </si>
  <si>
    <t>9503 Cresskill Pl</t>
  </si>
  <si>
    <t>9147 88th Rd</t>
  </si>
  <si>
    <t>3086 32nd St</t>
  </si>
  <si>
    <t>9523 Roosevelt Ave</t>
  </si>
  <si>
    <t>8355 Austin St</t>
  </si>
  <si>
    <t>2538 43rd St</t>
  </si>
  <si>
    <t>10431 88th Ave</t>
  </si>
  <si>
    <t>4213 28th Ave</t>
  </si>
  <si>
    <t>14825 88th Ave</t>
  </si>
  <si>
    <t>14165 85th Rd</t>
  </si>
  <si>
    <t>1881 Putnam Ave</t>
  </si>
  <si>
    <t>2324 Beach Channel Dr</t>
  </si>
  <si>
    <t>14725 88th Ave</t>
  </si>
  <si>
    <t>9427 77th St</t>
  </si>
  <si>
    <t>3459 89th St</t>
  </si>
  <si>
    <t>16410 84th Ave</t>
  </si>
  <si>
    <t>6147 164th St</t>
  </si>
  <si>
    <t>175-10 88th Ave</t>
  </si>
  <si>
    <t>14137 Pershing Cres</t>
  </si>
  <si>
    <t>360 Onderdonk Ave</t>
  </si>
  <si>
    <t>11926 237th St</t>
  </si>
  <si>
    <t>5507 102nd St</t>
  </si>
  <si>
    <t>14340 222nd St</t>
  </si>
  <si>
    <t>8954 199th St Bsmt</t>
  </si>
  <si>
    <t>6738 Parsons Blvd</t>
  </si>
  <si>
    <t>9425 83rd St</t>
  </si>
  <si>
    <t>17223 93rd Ave</t>
  </si>
  <si>
    <t>6741 Kissena Blvd</t>
  </si>
  <si>
    <t>14907 Lefferts Blvd</t>
  </si>
  <si>
    <t>8622 Jamaica Ave</t>
  </si>
  <si>
    <t>1870 Palmetto St</t>
  </si>
  <si>
    <t>2444 95th St</t>
  </si>
  <si>
    <t>12045 199th St</t>
  </si>
  <si>
    <t>2611 96th St</t>
  </si>
  <si>
    <t>174-36 136th Ave</t>
  </si>
  <si>
    <t>13446 161st St</t>
  </si>
  <si>
    <t>6733 Kissena Blvd</t>
  </si>
  <si>
    <t>10607 177th St</t>
  </si>
  <si>
    <t>P.O.Box 1213</t>
  </si>
  <si>
    <t>19135 115th Dr</t>
  </si>
  <si>
    <t>10831 36th Ave</t>
  </si>
  <si>
    <t>21-62 Cresent Street</t>
  </si>
  <si>
    <t>13731 132nd Ave</t>
  </si>
  <si>
    <t>3706 89th St</t>
  </si>
  <si>
    <t>1330 128th St</t>
  </si>
  <si>
    <t>6559 Parsons Blvd</t>
  </si>
  <si>
    <t>8919 171st St</t>
  </si>
  <si>
    <t>215 Beach 101st St</t>
  </si>
  <si>
    <t>10633 156th St</t>
  </si>
  <si>
    <t>5439 100th St</t>
  </si>
  <si>
    <t>105 Beach 56th Pl</t>
  </si>
  <si>
    <t>1430 Seagirt Blvd</t>
  </si>
  <si>
    <t>4036 67th St</t>
  </si>
  <si>
    <t>3106 Lewmay Rd</t>
  </si>
  <si>
    <t>102-23 Horace Harding Expway</t>
  </si>
  <si>
    <t>6968 137th St</t>
  </si>
  <si>
    <t>6433 Admiral Ave</t>
  </si>
  <si>
    <t>3458 90th St</t>
  </si>
  <si>
    <t>18708 Hillside Ave</t>
  </si>
  <si>
    <t>23110 131st Ave</t>
  </si>
  <si>
    <t>9914 59th Ave</t>
  </si>
  <si>
    <t>2070 Steinway St</t>
  </si>
  <si>
    <t>4918 43rd Ave</t>
  </si>
  <si>
    <t>4142 24th St</t>
  </si>
  <si>
    <t>22-20 86th Street</t>
  </si>
  <si>
    <t>2230 New Haven Ave</t>
  </si>
  <si>
    <t>1359 Chandler St</t>
  </si>
  <si>
    <t>12365 147th st</t>
  </si>
  <si>
    <t>16752 118th Ave</t>
  </si>
  <si>
    <t>8543 101st St</t>
  </si>
  <si>
    <t>3750 81st St</t>
  </si>
  <si>
    <t>2516 18th Steet</t>
  </si>
  <si>
    <t>4035 Hampton St</t>
  </si>
  <si>
    <t>14510 110th Ave</t>
  </si>
  <si>
    <t>15400 Rockaway Blvd</t>
  </si>
  <si>
    <t>2026 Seagirt Blvd</t>
  </si>
  <si>
    <t>250 Beach 15th St</t>
  </si>
  <si>
    <t>1253 Brunswick Ave</t>
  </si>
  <si>
    <t>10954 118th St</t>
  </si>
  <si>
    <t>7644 Park Ln S</t>
  </si>
  <si>
    <t>11426 169th St</t>
  </si>
  <si>
    <t>8650 77th St</t>
  </si>
  <si>
    <t>11640 168th St</t>
  </si>
  <si>
    <t>155-30 Inwood St</t>
  </si>
  <si>
    <t>18318 144th Ave</t>
  </si>
  <si>
    <t>8357 118th St</t>
  </si>
  <si>
    <t>5910 Queens Blvd</t>
  </si>
  <si>
    <t>7712 35th Ave</t>
  </si>
  <si>
    <t>11245 Dillon St</t>
  </si>
  <si>
    <t>8865 Eldert Ln</t>
  </si>
  <si>
    <t>4142 Elbertson St</t>
  </si>
  <si>
    <t>436 Beach 64th St</t>
  </si>
  <si>
    <t>1420 Gateway Blvd</t>
  </si>
  <si>
    <t>14731 109th Ave</t>
  </si>
  <si>
    <t>16818 Liberty ave</t>
  </si>
  <si>
    <t>8411 Liberty Ave</t>
  </si>
  <si>
    <t>18840 Dormans Rd</t>
  </si>
  <si>
    <t>7032 65th Pl</t>
  </si>
  <si>
    <t>7528 197th St</t>
  </si>
  <si>
    <t>16715 Northern Blvd</t>
  </si>
  <si>
    <t>8415 86th St</t>
  </si>
  <si>
    <t>37-91 102nd</t>
  </si>
  <si>
    <t>4847 47th St</t>
  </si>
  <si>
    <t>10257 184th St</t>
  </si>
  <si>
    <t>8109 31st Ave</t>
  </si>
  <si>
    <t>22412 Linden Blvd</t>
  </si>
  <si>
    <t>3412 103rd St</t>
  </si>
  <si>
    <t>4421 Macnish St</t>
  </si>
  <si>
    <t>2518 47th St</t>
  </si>
  <si>
    <t>4171 Denman St</t>
  </si>
  <si>
    <t>3706 104th St</t>
  </si>
  <si>
    <t>12922 154th St</t>
  </si>
  <si>
    <t>14625 106th Avene</t>
  </si>
  <si>
    <t>7117 Woodside Ave</t>
  </si>
  <si>
    <t>9514 93rd St</t>
  </si>
  <si>
    <t>11511 197th St</t>
  </si>
  <si>
    <t>11593 217th St</t>
  </si>
  <si>
    <t>4710 104th St</t>
  </si>
  <si>
    <t>15037 115th Dr</t>
  </si>
  <si>
    <t>4321 49th St</t>
  </si>
  <si>
    <t>8925 Elmhurst Ave</t>
  </si>
  <si>
    <t>224-09 145rd</t>
  </si>
  <si>
    <t>15019 118th ave</t>
  </si>
  <si>
    <t>8008 45th Ave</t>
  </si>
  <si>
    <t>16820 127th Ave</t>
  </si>
  <si>
    <t>13224 Maple Ave</t>
  </si>
  <si>
    <t>120 Astoria Blvd</t>
  </si>
  <si>
    <t>1705 Palmetto St</t>
  </si>
  <si>
    <t>152 Beach 188th St</t>
  </si>
  <si>
    <t>13411 107th Ave</t>
  </si>
  <si>
    <t>7915 Cypress Ave</t>
  </si>
  <si>
    <t>2543 Beach Channel Dr</t>
  </si>
  <si>
    <t>10425 195th St</t>
  </si>
  <si>
    <t>4604 67th St</t>
  </si>
  <si>
    <t>11640 Park Ln S</t>
  </si>
  <si>
    <t>9010 150th St</t>
  </si>
  <si>
    <t>9936 41st Ave</t>
  </si>
  <si>
    <t>4207 Elberston st</t>
  </si>
  <si>
    <t>3261 71st St</t>
  </si>
  <si>
    <t>6260 108th St</t>
  </si>
  <si>
    <t>2314 28th St</t>
  </si>
  <si>
    <t>9043 209th St</t>
  </si>
  <si>
    <t>14605 120th Ave</t>
  </si>
  <si>
    <t>4038 77th St</t>
  </si>
  <si>
    <t>15702 59th Ave</t>
  </si>
  <si>
    <t>631 Beach 9th St</t>
  </si>
  <si>
    <t>13702 Northern Blvd</t>
  </si>
  <si>
    <t>2501 Oceancrest Blvd</t>
  </si>
  <si>
    <t>11032 166th St</t>
  </si>
  <si>
    <t>60-01 B 194 Street</t>
  </si>
  <si>
    <t>155a Beach 27th St</t>
  </si>
  <si>
    <t>11828 197th St</t>
  </si>
  <si>
    <t>9201 Lamont Ave</t>
  </si>
  <si>
    <t>62-09 84 Street</t>
  </si>
  <si>
    <t>8311 Doran Ave</t>
  </si>
  <si>
    <t>17111 103rd Rd</t>
  </si>
  <si>
    <t>4005 Ithaca St</t>
  </si>
  <si>
    <t>4211 Gleane St</t>
  </si>
  <si>
    <t>11110 106th St</t>
  </si>
  <si>
    <t>16609 144th Ave</t>
  </si>
  <si>
    <t>11509 Sutphin Blvd</t>
  </si>
  <si>
    <t>3168 47th St</t>
  </si>
  <si>
    <t>11621 200th St</t>
  </si>
  <si>
    <t>1815 George St</t>
  </si>
  <si>
    <t>4040 79th St</t>
  </si>
  <si>
    <t>10416 32nd Ave</t>
  </si>
  <si>
    <t>16818 Liberty Ave</t>
  </si>
  <si>
    <t>4196 Gleane St</t>
  </si>
  <si>
    <t>14246 Sanford Ave</t>
  </si>
  <si>
    <t>9159 191st St</t>
  </si>
  <si>
    <t>9840 57th Ave</t>
  </si>
  <si>
    <t>220 Beach 92nd Street</t>
  </si>
  <si>
    <t>167 Beach 60th St</t>
  </si>
  <si>
    <t>2259 Dix Ave</t>
  </si>
  <si>
    <t>9023 149th St</t>
  </si>
  <si>
    <t>11921 180th St</t>
  </si>
  <si>
    <t>11630 Guy R Brewer Blvd</t>
  </si>
  <si>
    <t>10926 174th St</t>
  </si>
  <si>
    <t>9212 175th St</t>
  </si>
  <si>
    <t>18303 Henderson Ave</t>
  </si>
  <si>
    <t>113-15 Atlantic Ave</t>
  </si>
  <si>
    <t>13236 87th St</t>
  </si>
  <si>
    <t>20215 119th Ave</t>
  </si>
  <si>
    <t>657 Seneca Ave</t>
  </si>
  <si>
    <t>1711 Himrod St</t>
  </si>
  <si>
    <t>2 Bay Club Dr</t>
  </si>
  <si>
    <t>4230 Union St</t>
  </si>
  <si>
    <t>13245 Maple Ave</t>
  </si>
  <si>
    <t>3213 31st Ave</t>
  </si>
  <si>
    <t>2834 48th St</t>
  </si>
  <si>
    <t>206 Astoria Blvd</t>
  </si>
  <si>
    <t>3455 12th St</t>
  </si>
  <si>
    <t>25736 148th Ave</t>
  </si>
  <si>
    <t>4526 39th Pl</t>
  </si>
  <si>
    <t>14217 130th Ave</t>
  </si>
  <si>
    <t>9527 130th St</t>
  </si>
  <si>
    <t>3119 33rd St</t>
  </si>
  <si>
    <t>4805 46th St</t>
  </si>
  <si>
    <t>17404 110th Ave</t>
  </si>
  <si>
    <t>9034 148th St</t>
  </si>
  <si>
    <t>10925 Merrick Blvd</t>
  </si>
  <si>
    <t>4129 53rd St</t>
  </si>
  <si>
    <t>9604 57th Ave</t>
  </si>
  <si>
    <t>9830 57th Ave</t>
  </si>
  <si>
    <t>3706 107th St</t>
  </si>
  <si>
    <t>10842 43rd Ave</t>
  </si>
  <si>
    <t>4023 Ithaca St</t>
  </si>
  <si>
    <t>2924 21st Ave</t>
  </si>
  <si>
    <t>10433 89th Ave</t>
  </si>
  <si>
    <t>11911 Guy R Brewer Blvd</t>
  </si>
  <si>
    <t>37-25 6th Street</t>
  </si>
  <si>
    <t>6081 Myrtle Ave</t>
  </si>
  <si>
    <t>2518 Seagirt Ave</t>
  </si>
  <si>
    <t>6608 102nd St</t>
  </si>
  <si>
    <t>2416 84th St</t>
  </si>
  <si>
    <t>8873 193rd st</t>
  </si>
  <si>
    <t>622 Gipson St</t>
  </si>
  <si>
    <t>11422 Springfield Blvd</t>
  </si>
  <si>
    <t>8246 Lefferts Blvd</t>
  </si>
  <si>
    <t>6520 Parsons Blvd</t>
  </si>
  <si>
    <t>6112 162nd St</t>
  </si>
  <si>
    <t>13016 Inwood St</t>
  </si>
  <si>
    <t>3251 53rd Pl</t>
  </si>
  <si>
    <t>7203 31st Ave</t>
  </si>
  <si>
    <t>4242 80th St</t>
  </si>
  <si>
    <t>11128 37th Ave</t>
  </si>
  <si>
    <t>14307 Lakewood Ave</t>
  </si>
  <si>
    <t>3405 108th St</t>
  </si>
  <si>
    <t>4134 55th St</t>
  </si>
  <si>
    <t>1647 Summerfield St</t>
  </si>
  <si>
    <t>5530 97th Pl</t>
  </si>
  <si>
    <t>8610 34th Ave</t>
  </si>
  <si>
    <t>6117 68th Ave</t>
  </si>
  <si>
    <t>4229 Judge St</t>
  </si>
  <si>
    <t>11418 132nd St</t>
  </si>
  <si>
    <t>410 Beach 54th St</t>
  </si>
  <si>
    <t>13235 Sanford Ave</t>
  </si>
  <si>
    <t>1011 Neilson St</t>
  </si>
  <si>
    <t>6863 Fresh Pond Rd</t>
  </si>
  <si>
    <t>14649 107th Ave</t>
  </si>
  <si>
    <t>9728 57th ave</t>
  </si>
  <si>
    <t>9210 175th St</t>
  </si>
  <si>
    <t>11019 Francis Lewis Blvd</t>
  </si>
  <si>
    <t>8748 78th St</t>
  </si>
  <si>
    <t>3351 73rd St</t>
  </si>
  <si>
    <t>9905 63rd Dr</t>
  </si>
  <si>
    <t>17212 133rd Ave</t>
  </si>
  <si>
    <t>14055 Burden Cres</t>
  </si>
  <si>
    <t>90-36 149th Street</t>
  </si>
  <si>
    <t>514 College Pl</t>
  </si>
  <si>
    <t>13474 Franklin Ave</t>
  </si>
  <si>
    <t>1720 Willoughby Ave</t>
  </si>
  <si>
    <t>13516 115th St</t>
  </si>
  <si>
    <t>1024 Gipson St</t>
  </si>
  <si>
    <t>2308 Mott Ave</t>
  </si>
  <si>
    <t>10415 34th Ave</t>
  </si>
  <si>
    <t>9426 34th rd</t>
  </si>
  <si>
    <t>23803 Craddock Ave</t>
  </si>
  <si>
    <t>13403 Cheney St</t>
  </si>
  <si>
    <t>12560 Sutphin Blvd</t>
  </si>
  <si>
    <t>21223 Jamaica Ave</t>
  </si>
  <si>
    <t>97-20 57th Avenue</t>
  </si>
  <si>
    <t>8611 Whitney Ave</t>
  </si>
  <si>
    <t>108 E 6th Rd</t>
  </si>
  <si>
    <t>12325 82nd Ave</t>
  </si>
  <si>
    <t>10227 62nd Dr</t>
  </si>
  <si>
    <t>3611 12th St</t>
  </si>
  <si>
    <t>12602 Locust Manor Ln</t>
  </si>
  <si>
    <t>3506 94th St</t>
  </si>
  <si>
    <t>10538 170th St</t>
  </si>
  <si>
    <t>14819 90th Ave</t>
  </si>
  <si>
    <t>16817 89th Ave</t>
  </si>
  <si>
    <t>10333 116th St</t>
  </si>
  <si>
    <t>8415 102nd Ave</t>
  </si>
  <si>
    <t>8531 120th St</t>
  </si>
  <si>
    <t>4049 167th St</t>
  </si>
  <si>
    <t>4720 48th St</t>
  </si>
  <si>
    <t>3565 85th St</t>
  </si>
  <si>
    <t>24115 86th Ave</t>
  </si>
  <si>
    <t>10721 Jamaica Ave</t>
  </si>
  <si>
    <t>15476 71st Ave</t>
  </si>
  <si>
    <t>6333 Haring St</t>
  </si>
  <si>
    <t>7132 66th Pl</t>
  </si>
  <si>
    <t>413 Beach 44th St</t>
  </si>
  <si>
    <t>9206 173rd St</t>
  </si>
  <si>
    <t>11714 Van Wyck Expy</t>
  </si>
  <si>
    <t>20214 Hollis Ave</t>
  </si>
  <si>
    <t>16015 108th ave</t>
  </si>
  <si>
    <t>283 Onderdonk Ave</t>
  </si>
  <si>
    <t>13502 Rockaway Blvd</t>
  </si>
  <si>
    <t>249 Beach 15th St</t>
  </si>
  <si>
    <t>5905 Xenia St</t>
  </si>
  <si>
    <t>3552 10th St</t>
  </si>
  <si>
    <t>11021 Northern Blvd</t>
  </si>
  <si>
    <t>4343 91st Pl</t>
  </si>
  <si>
    <t>13501 96th PL</t>
  </si>
  <si>
    <t>6015 Fresh Pond Rd</t>
  </si>
  <si>
    <t>3608 29th St</t>
  </si>
  <si>
    <t>10147 95th St</t>
  </si>
  <si>
    <t>8818 150th St</t>
  </si>
  <si>
    <t>12360 83rd Ave</t>
  </si>
  <si>
    <t>7311 153rd St</t>
  </si>
  <si>
    <t>16909 Jamaica Ave</t>
  </si>
  <si>
    <t>17020 90th Ave</t>
  </si>
  <si>
    <t>1215 Frisco Ave</t>
  </si>
  <si>
    <t>8025 159th St</t>
  </si>
  <si>
    <t>10009 Rockaway Beach Blvd</t>
  </si>
  <si>
    <t>6424 Madison St</t>
  </si>
  <si>
    <t>7422 Woodside Ave</t>
  </si>
  <si>
    <t>3415 12th St</t>
  </si>
  <si>
    <t>16819 110th Ave</t>
  </si>
  <si>
    <t>13006 229th St</t>
  </si>
  <si>
    <t>11627 Newburgh St</t>
  </si>
  <si>
    <t>8103 Hammels Blvd</t>
  </si>
  <si>
    <t>16337 130th Ave</t>
  </si>
  <si>
    <t>3354 83rd St</t>
  </si>
  <si>
    <t>309 Beach 88th St</t>
  </si>
  <si>
    <t>13428 155th St</t>
  </si>
  <si>
    <t>10419 125th St</t>
  </si>
  <si>
    <t>8546 115th St</t>
  </si>
  <si>
    <t>14937 Tahoe St</t>
  </si>
  <si>
    <t>13727 Carson St</t>
  </si>
  <si>
    <t>8910 Whitney Ave</t>
  </si>
  <si>
    <t>9813 Northern Blvd</t>
  </si>
  <si>
    <t>2255 33rd St</t>
  </si>
  <si>
    <t>1435 26th Ave</t>
  </si>
  <si>
    <t>4474 21st St</t>
  </si>
  <si>
    <t>11616  Rockaway park 2nd Fl.</t>
  </si>
  <si>
    <t>4109 10th St</t>
  </si>
  <si>
    <t>3264 44th St</t>
  </si>
  <si>
    <t>14448 166th St</t>
  </si>
  <si>
    <t>183-20 140th avene</t>
  </si>
  <si>
    <t>18620 Jordan Ave</t>
  </si>
  <si>
    <t>13927 247th St</t>
  </si>
  <si>
    <t>13708 Westgate St</t>
  </si>
  <si>
    <t>7020 Parsons Blvd</t>
  </si>
  <si>
    <t>11318 Atlantic Ave</t>
  </si>
  <si>
    <t>10635 159th St</t>
  </si>
  <si>
    <t>14815 Lowe Ct</t>
  </si>
  <si>
    <t>11039 156th St</t>
  </si>
  <si>
    <t>8511 34th Ave</t>
  </si>
  <si>
    <t>2348 130th St</t>
  </si>
  <si>
    <t>10739 157th St</t>
  </si>
  <si>
    <t>333 Beach 67th St</t>
  </si>
  <si>
    <t>11345 Farmers Blvd</t>
  </si>
  <si>
    <t>97-20 57th avenue</t>
  </si>
  <si>
    <t>10049 195th St</t>
  </si>
  <si>
    <t>14034 172nd St</t>
  </si>
  <si>
    <t>6730 161st St</t>
  </si>
  <si>
    <t>25965 148th Ave</t>
  </si>
  <si>
    <t>9405 35th Ave</t>
  </si>
  <si>
    <t>9308 89th Ave</t>
  </si>
  <si>
    <t>456 Beach 40th St</t>
  </si>
  <si>
    <t>5231 39th Rd</t>
  </si>
  <si>
    <t>14624 58th RD</t>
  </si>
  <si>
    <t>9912 37th Ave</t>
  </si>
  <si>
    <t>6717 Kissena Blvd</t>
  </si>
  <si>
    <t>8444 98th St</t>
  </si>
  <si>
    <t>3114 42nd St</t>
  </si>
  <si>
    <t>10733 157th St</t>
  </si>
  <si>
    <t>13316 Centreville St</t>
  </si>
  <si>
    <t>10601 79th St</t>
  </si>
  <si>
    <t>19715 91st Rd</t>
  </si>
  <si>
    <t>7218 Almeda Ave</t>
  </si>
  <si>
    <t>13425 Franklin Ave</t>
  </si>
  <si>
    <t>16018 118th Rd</t>
  </si>
  <si>
    <t>8739 110th St</t>
  </si>
  <si>
    <t>9727 117th St</t>
  </si>
  <si>
    <t>17903 145th Ave</t>
  </si>
  <si>
    <t>10413 177th St</t>
  </si>
  <si>
    <t>9305 Atari Ln</t>
  </si>
  <si>
    <t>16732 118th Ave</t>
  </si>
  <si>
    <t>8015 41st Ave</t>
  </si>
  <si>
    <t>13912 87th Dr</t>
  </si>
  <si>
    <t>17020 130th Ave</t>
  </si>
  <si>
    <t>9150 121st St</t>
  </si>
  <si>
    <t>14140 84th Dr</t>
  </si>
  <si>
    <t>10220 217th St</t>
  </si>
  <si>
    <t>13506 Liberty Ave</t>
  </si>
  <si>
    <t>9830 67th Ave</t>
  </si>
  <si>
    <t>7908 147th St</t>
  </si>
  <si>
    <t>4109 99th St</t>
  </si>
  <si>
    <t>10936 155th St</t>
  </si>
  <si>
    <t>177-19 Troutville Road, Top Floor, 2nd Room</t>
  </si>
  <si>
    <t>6720 Parsons Blvd</t>
  </si>
  <si>
    <t>16302 17th Ave</t>
  </si>
  <si>
    <t>14346 110th Ave</t>
  </si>
  <si>
    <t>9714 Metropolitan Ave</t>
  </si>
  <si>
    <t>1813 Linden St</t>
  </si>
  <si>
    <t>8926 129th St</t>
  </si>
  <si>
    <t>13526 Rockaway Blvd</t>
  </si>
  <si>
    <t>15601 N Conduit Ave</t>
  </si>
  <si>
    <t>4319 39th Pl</t>
  </si>
  <si>
    <t>6714 41st Ave</t>
  </si>
  <si>
    <t>11645 148th St</t>
  </si>
  <si>
    <t>6584 Austin St</t>
  </si>
  <si>
    <t>25434 Craft Ave</t>
  </si>
  <si>
    <t>7037 65th Pl</t>
  </si>
  <si>
    <t>9160 193rd St</t>
  </si>
  <si>
    <t>1006 Neilson St</t>
  </si>
  <si>
    <t>6415 Dieterle Cres</t>
  </si>
  <si>
    <t>6311 Eliot Ave</t>
  </si>
  <si>
    <t>8345 Lefferts Blvd</t>
  </si>
  <si>
    <t>11118 39th Ave</t>
  </si>
  <si>
    <t>11231 179th St</t>
  </si>
  <si>
    <t>8040 88th Rd</t>
  </si>
  <si>
    <t>10217 97th Ave</t>
  </si>
  <si>
    <t>11105 Cypress Ave</t>
  </si>
  <si>
    <t>13912 109th Ave</t>
  </si>
  <si>
    <t>9010 34th Ave</t>
  </si>
  <si>
    <t>5B</t>
  </si>
  <si>
    <t>1st FL</t>
  </si>
  <si>
    <t>4R</t>
  </si>
  <si>
    <t>1st Fl</t>
  </si>
  <si>
    <t>2L</t>
  </si>
  <si>
    <t>1b</t>
  </si>
  <si>
    <t>4e</t>
  </si>
  <si>
    <t>3K</t>
  </si>
  <si>
    <t>2E</t>
  </si>
  <si>
    <t>3B</t>
  </si>
  <si>
    <t>12J</t>
  </si>
  <si>
    <t>basement</t>
  </si>
  <si>
    <t>5A</t>
  </si>
  <si>
    <t>Unit 1C</t>
  </si>
  <si>
    <t>1G</t>
  </si>
  <si>
    <t>3rd floor</t>
  </si>
  <si>
    <t>2nd Floor - middle room</t>
  </si>
  <si>
    <t>B37</t>
  </si>
  <si>
    <t>2R</t>
  </si>
  <si>
    <t>C9</t>
  </si>
  <si>
    <t>3L</t>
  </si>
  <si>
    <t>1H</t>
  </si>
  <si>
    <t>6A</t>
  </si>
  <si>
    <t>1A</t>
  </si>
  <si>
    <t>2nd fl rm 3</t>
  </si>
  <si>
    <t>2B</t>
  </si>
  <si>
    <t>2nd Floor</t>
  </si>
  <si>
    <t>1 Fl</t>
  </si>
  <si>
    <t>1st fl</t>
  </si>
  <si>
    <t>2nd fl</t>
  </si>
  <si>
    <t>1J</t>
  </si>
  <si>
    <t>Apt 5C</t>
  </si>
  <si>
    <t>2F</t>
  </si>
  <si>
    <t>1F</t>
  </si>
  <si>
    <t>4I</t>
  </si>
  <si>
    <t>A113</t>
  </si>
  <si>
    <t>Apt 2K</t>
  </si>
  <si>
    <t>2C</t>
  </si>
  <si>
    <t>5H</t>
  </si>
  <si>
    <t>05B</t>
  </si>
  <si>
    <t>Basement</t>
  </si>
  <si>
    <t>6P</t>
  </si>
  <si>
    <t>4B</t>
  </si>
  <si>
    <t>4T</t>
  </si>
  <si>
    <t>1rst floor</t>
  </si>
  <si>
    <t>4F</t>
  </si>
  <si>
    <t>2A</t>
  </si>
  <si>
    <t>14K</t>
  </si>
  <si>
    <t>3D</t>
  </si>
  <si>
    <t>8A</t>
  </si>
  <si>
    <t>5D</t>
  </si>
  <si>
    <t>5E</t>
  </si>
  <si>
    <t>3R</t>
  </si>
  <si>
    <t>7B</t>
  </si>
  <si>
    <t>1D</t>
  </si>
  <si>
    <t>4H</t>
  </si>
  <si>
    <t>4D</t>
  </si>
  <si>
    <t>B3</t>
  </si>
  <si>
    <t>14B</t>
  </si>
  <si>
    <t>9B</t>
  </si>
  <si>
    <t>6J</t>
  </si>
  <si>
    <t>7A</t>
  </si>
  <si>
    <t>2D</t>
  </si>
  <si>
    <t>5F</t>
  </si>
  <si>
    <t>1R</t>
  </si>
  <si>
    <t>14E</t>
  </si>
  <si>
    <t>11M</t>
  </si>
  <si>
    <t>Apt 1</t>
  </si>
  <si>
    <t>2G</t>
  </si>
  <si>
    <t>9K</t>
  </si>
  <si>
    <t>6B</t>
  </si>
  <si>
    <t>1st Floor</t>
  </si>
  <si>
    <t>7R</t>
  </si>
  <si>
    <t>A6</t>
  </si>
  <si>
    <t>2H</t>
  </si>
  <si>
    <t>#7-D</t>
  </si>
  <si>
    <t>Apt. 3B</t>
  </si>
  <si>
    <t>4A</t>
  </si>
  <si>
    <t>4M</t>
  </si>
  <si>
    <t>D32</t>
  </si>
  <si>
    <t>1y</t>
  </si>
  <si>
    <t>R510</t>
  </si>
  <si>
    <t>Upper unit</t>
  </si>
  <si>
    <t>2nd Fl</t>
  </si>
  <si>
    <t>T24</t>
  </si>
  <si>
    <t>3H</t>
  </si>
  <si>
    <t>1 Fl &amp; BSMNT</t>
  </si>
  <si>
    <t>3O</t>
  </si>
  <si>
    <t>04C</t>
  </si>
  <si>
    <t>Bsmnt</t>
  </si>
  <si>
    <t>04E</t>
  </si>
  <si>
    <t>bsmnt</t>
  </si>
  <si>
    <t>#2</t>
  </si>
  <si>
    <t>1B</t>
  </si>
  <si>
    <t>1C</t>
  </si>
  <si>
    <t>3J</t>
  </si>
  <si>
    <t>3A</t>
  </si>
  <si>
    <t>11G</t>
  </si>
  <si>
    <t>20C</t>
  </si>
  <si>
    <t>4E</t>
  </si>
  <si>
    <t>D2</t>
  </si>
  <si>
    <t>7 I</t>
  </si>
  <si>
    <t>3rd Floor</t>
  </si>
  <si>
    <t>2 Floor</t>
  </si>
  <si>
    <t>5C</t>
  </si>
  <si>
    <t>B7</t>
  </si>
  <si>
    <t>2K</t>
  </si>
  <si>
    <t>1st</t>
  </si>
  <si>
    <t>6G</t>
  </si>
  <si>
    <t>Entire House</t>
  </si>
  <si>
    <t>2nd</t>
  </si>
  <si>
    <t>6D</t>
  </si>
  <si>
    <t>2nd FL</t>
  </si>
  <si>
    <t>1M</t>
  </si>
  <si>
    <t>2nd floor</t>
  </si>
  <si>
    <t>E314</t>
  </si>
  <si>
    <t>4S</t>
  </si>
  <si>
    <t>11E</t>
  </si>
  <si>
    <t>10M</t>
  </si>
  <si>
    <t>14A</t>
  </si>
  <si>
    <t>10O</t>
  </si>
  <si>
    <t>3P</t>
  </si>
  <si>
    <t>2nd flr</t>
  </si>
  <si>
    <t>6F</t>
  </si>
  <si>
    <t>11C</t>
  </si>
  <si>
    <t>G2</t>
  </si>
  <si>
    <t>3G</t>
  </si>
  <si>
    <t>3FL</t>
  </si>
  <si>
    <t>Basement, Front Room on Right</t>
  </si>
  <si>
    <t>GB</t>
  </si>
  <si>
    <t>11B</t>
  </si>
  <si>
    <t>02D</t>
  </si>
  <si>
    <t>13F</t>
  </si>
  <si>
    <t>Attic</t>
  </si>
  <si>
    <t>private house</t>
  </si>
  <si>
    <t>Apt. D62</t>
  </si>
  <si>
    <t>2S</t>
  </si>
  <si>
    <t>10G</t>
  </si>
  <si>
    <t>3rd fl</t>
  </si>
  <si>
    <t>14F</t>
  </si>
  <si>
    <t>1L</t>
  </si>
  <si>
    <t>6M</t>
  </si>
  <si>
    <t>6e</t>
  </si>
  <si>
    <t>1a</t>
  </si>
  <si>
    <t>3E</t>
  </si>
  <si>
    <t>A610</t>
  </si>
  <si>
    <t>3rd FL</t>
  </si>
  <si>
    <t>1 Floor</t>
  </si>
  <si>
    <t>A307</t>
  </si>
  <si>
    <t>2nd Floor--Front Room</t>
  </si>
  <si>
    <t>3rd, Floor</t>
  </si>
  <si>
    <t>A110</t>
  </si>
  <si>
    <t>A1</t>
  </si>
  <si>
    <t>12F</t>
  </si>
  <si>
    <t>7D</t>
  </si>
  <si>
    <t>1FL</t>
  </si>
  <si>
    <t>6H</t>
  </si>
  <si>
    <t>42 - 4th fl</t>
  </si>
  <si>
    <t>3C</t>
  </si>
  <si>
    <t>C1</t>
  </si>
  <si>
    <t>31A</t>
  </si>
  <si>
    <t>A</t>
  </si>
  <si>
    <t>E3A1</t>
  </si>
  <si>
    <t>1E</t>
  </si>
  <si>
    <t>C42</t>
  </si>
  <si>
    <t>8k</t>
  </si>
  <si>
    <t>6C</t>
  </si>
  <si>
    <t>3rd Fl</t>
  </si>
  <si>
    <t>D117</t>
  </si>
  <si>
    <t>2nd Floor - Front Room</t>
  </si>
  <si>
    <t>8E</t>
  </si>
  <si>
    <t>3b</t>
  </si>
  <si>
    <t>private</t>
  </si>
  <si>
    <t>3N</t>
  </si>
  <si>
    <t>3F</t>
  </si>
  <si>
    <t>15B</t>
  </si>
  <si>
    <t>7M</t>
  </si>
  <si>
    <t>B43</t>
  </si>
  <si>
    <t>B6</t>
  </si>
  <si>
    <t>0J</t>
  </si>
  <si>
    <t>5M</t>
  </si>
  <si>
    <t>D3</t>
  </si>
  <si>
    <t>C10</t>
  </si>
  <si>
    <t>F3</t>
  </si>
  <si>
    <t>237A</t>
  </si>
  <si>
    <t>6V</t>
  </si>
  <si>
    <t>3 Fl</t>
  </si>
  <si>
    <t>Apt. 2</t>
  </si>
  <si>
    <t>9E</t>
  </si>
  <si>
    <t>A4</t>
  </si>
  <si>
    <t>1405W</t>
  </si>
  <si>
    <t>first floor</t>
  </si>
  <si>
    <t>2106W</t>
  </si>
  <si>
    <t>D1</t>
  </si>
  <si>
    <t>TA</t>
  </si>
  <si>
    <t>4G</t>
  </si>
  <si>
    <t>10B</t>
  </si>
  <si>
    <t>C4</t>
  </si>
  <si>
    <t>Apt. 1E</t>
  </si>
  <si>
    <t>A2</t>
  </si>
  <si>
    <t>4L</t>
  </si>
  <si>
    <t>Apt 6E</t>
  </si>
  <si>
    <t>1st floor</t>
  </si>
  <si>
    <t>A28</t>
  </si>
  <si>
    <t>B1</t>
  </si>
  <si>
    <t>2a</t>
  </si>
  <si>
    <t>4C</t>
  </si>
  <si>
    <t>4g</t>
  </si>
  <si>
    <t>19B</t>
  </si>
  <si>
    <t>2 floor</t>
  </si>
  <si>
    <t>2J</t>
  </si>
  <si>
    <t>rent house</t>
  </si>
  <si>
    <t>R607</t>
  </si>
  <si>
    <t>6E</t>
  </si>
  <si>
    <t>12D</t>
  </si>
  <si>
    <t>1f</t>
  </si>
  <si>
    <t>5L</t>
  </si>
  <si>
    <t>15V</t>
  </si>
  <si>
    <t>1g</t>
  </si>
  <si>
    <t>4f</t>
  </si>
  <si>
    <t>s10</t>
  </si>
  <si>
    <t>5d</t>
  </si>
  <si>
    <t>10C</t>
  </si>
  <si>
    <t>1c</t>
  </si>
  <si>
    <t>C2</t>
  </si>
  <si>
    <t>3Z</t>
  </si>
  <si>
    <t>5f</t>
  </si>
  <si>
    <t>3a</t>
  </si>
  <si>
    <t>Apt 3</t>
  </si>
  <si>
    <t>12 E</t>
  </si>
  <si>
    <t>Apt. 1</t>
  </si>
  <si>
    <t>3rd FL.</t>
  </si>
  <si>
    <t>Apt 209</t>
  </si>
  <si>
    <t>26k</t>
  </si>
  <si>
    <t>Front apartment</t>
  </si>
  <si>
    <t>6c</t>
  </si>
  <si>
    <t>4-O</t>
  </si>
  <si>
    <t>18L</t>
  </si>
  <si>
    <t>14H</t>
  </si>
  <si>
    <t>L501</t>
  </si>
  <si>
    <t>5b</t>
  </si>
  <si>
    <t>36B</t>
  </si>
  <si>
    <t>Apt 5</t>
  </si>
  <si>
    <t>Apt D1</t>
  </si>
  <si>
    <t>8F</t>
  </si>
  <si>
    <t>4N</t>
  </si>
  <si>
    <t>12E</t>
  </si>
  <si>
    <t>C612</t>
  </si>
  <si>
    <t>1J (back bedroom)</t>
  </si>
  <si>
    <t>495A</t>
  </si>
  <si>
    <t>8G</t>
  </si>
  <si>
    <t>2FL</t>
  </si>
  <si>
    <t>3KK</t>
  </si>
  <si>
    <t>7F</t>
  </si>
  <si>
    <t>6-O</t>
  </si>
  <si>
    <t>5K</t>
  </si>
  <si>
    <t>01E</t>
  </si>
  <si>
    <t>R 601</t>
  </si>
  <si>
    <t>2416W</t>
  </si>
  <si>
    <t>3i</t>
  </si>
  <si>
    <t>A14</t>
  </si>
  <si>
    <t>Room 1</t>
  </si>
  <si>
    <t>7C</t>
  </si>
  <si>
    <t>13C</t>
  </si>
  <si>
    <t>B4</t>
  </si>
  <si>
    <t>9C</t>
  </si>
  <si>
    <t>2nd Floor - Rear</t>
  </si>
  <si>
    <t>Ground Floor</t>
  </si>
  <si>
    <t>2N</t>
  </si>
  <si>
    <t>A5</t>
  </si>
  <si>
    <t>10A</t>
  </si>
  <si>
    <t>Basement Back Room</t>
  </si>
  <si>
    <t>Room 2</t>
  </si>
  <si>
    <t>22A</t>
  </si>
  <si>
    <t>7-D</t>
  </si>
  <si>
    <t>C</t>
  </si>
  <si>
    <t>Middle Floor</t>
  </si>
  <si>
    <t>C5</t>
  </si>
  <si>
    <t>9D</t>
  </si>
  <si>
    <t>3M</t>
  </si>
  <si>
    <t>6ST</t>
  </si>
  <si>
    <t>Apt. P/H</t>
  </si>
  <si>
    <t>04-G</t>
  </si>
  <si>
    <t>B10</t>
  </si>
  <si>
    <t>7O</t>
  </si>
  <si>
    <t>Room 2/1st Floor</t>
  </si>
  <si>
    <t>2 Fl.</t>
  </si>
  <si>
    <t>2 Fl</t>
  </si>
  <si>
    <t>2nd Floor, Attic</t>
  </si>
  <si>
    <t>back entrance</t>
  </si>
  <si>
    <t>apt 6G</t>
  </si>
  <si>
    <t>OMC-45</t>
  </si>
  <si>
    <t>03-C</t>
  </si>
  <si>
    <t>8B</t>
  </si>
  <si>
    <t>5-4K</t>
  </si>
  <si>
    <t>A-5</t>
  </si>
  <si>
    <t>#1</t>
  </si>
  <si>
    <t>renting house</t>
  </si>
  <si>
    <t>family house</t>
  </si>
  <si>
    <t>E306</t>
  </si>
  <si>
    <t>3d</t>
  </si>
  <si>
    <t>basement apt</t>
  </si>
  <si>
    <t>P3</t>
  </si>
  <si>
    <t>2RR</t>
  </si>
  <si>
    <t>apt1</t>
  </si>
  <si>
    <t>E2-B2</t>
  </si>
  <si>
    <t>attic</t>
  </si>
  <si>
    <t>A317</t>
  </si>
  <si>
    <t>L32</t>
  </si>
  <si>
    <t>D312</t>
  </si>
  <si>
    <t>First Floor - Apt 2</t>
  </si>
  <si>
    <t>6K</t>
  </si>
  <si>
    <t>A32</t>
  </si>
  <si>
    <t>05C</t>
  </si>
  <si>
    <t>57D</t>
  </si>
  <si>
    <t>E316</t>
  </si>
  <si>
    <t>A324</t>
  </si>
  <si>
    <t>8C</t>
  </si>
  <si>
    <t>1Y</t>
  </si>
  <si>
    <t>5R</t>
  </si>
  <si>
    <t>C3</t>
  </si>
  <si>
    <t>F46</t>
  </si>
  <si>
    <t>B509</t>
  </si>
  <si>
    <t>1st Fl.</t>
  </si>
  <si>
    <t>12 L</t>
  </si>
  <si>
    <t>1CP</t>
  </si>
  <si>
    <t>E103</t>
  </si>
  <si>
    <t>E4</t>
  </si>
  <si>
    <t>02B</t>
  </si>
  <si>
    <t>7E</t>
  </si>
  <si>
    <t>Bsmt</t>
  </si>
  <si>
    <t>14Z</t>
  </si>
  <si>
    <t>2-B</t>
  </si>
  <si>
    <t>Apt 26</t>
  </si>
  <si>
    <t>6RW</t>
  </si>
  <si>
    <t>apt #2</t>
  </si>
  <si>
    <t>2-I</t>
  </si>
  <si>
    <t>12K</t>
  </si>
  <si>
    <t>6f</t>
  </si>
  <si>
    <t>Fist Fl</t>
  </si>
  <si>
    <t>H1</t>
  </si>
  <si>
    <t>8N</t>
  </si>
  <si>
    <t>14J</t>
  </si>
  <si>
    <t>9h</t>
  </si>
  <si>
    <t>01A</t>
  </si>
  <si>
    <t>12C</t>
  </si>
  <si>
    <t>LD</t>
  </si>
  <si>
    <t>14n</t>
  </si>
  <si>
    <t>6N</t>
  </si>
  <si>
    <t>LB</t>
  </si>
  <si>
    <t>c6</t>
  </si>
  <si>
    <t>c106</t>
  </si>
  <si>
    <t>12L</t>
  </si>
  <si>
    <t>11-0</t>
  </si>
  <si>
    <t>15L</t>
  </si>
  <si>
    <t>3c</t>
  </si>
  <si>
    <t>D809</t>
  </si>
  <si>
    <t>10--O</t>
  </si>
  <si>
    <t>3e</t>
  </si>
  <si>
    <t>54A</t>
  </si>
  <si>
    <t>2 FL</t>
  </si>
  <si>
    <t>R411</t>
  </si>
  <si>
    <t>D9</t>
  </si>
  <si>
    <t>G21</t>
  </si>
  <si>
    <t>F2</t>
  </si>
  <si>
    <t>3S</t>
  </si>
  <si>
    <t>2f</t>
  </si>
  <si>
    <t>entire house</t>
  </si>
  <si>
    <t>1N</t>
  </si>
  <si>
    <t>4b</t>
  </si>
  <si>
    <t>4c</t>
  </si>
  <si>
    <t>A3</t>
  </si>
  <si>
    <t>7H</t>
  </si>
  <si>
    <t>03A</t>
  </si>
  <si>
    <t>Apt 4</t>
  </si>
  <si>
    <t>Apt 5E</t>
  </si>
  <si>
    <t>APT # 1A</t>
  </si>
  <si>
    <t>5-157</t>
  </si>
  <si>
    <t>2nd Fl - Rm 2</t>
  </si>
  <si>
    <t>1stfl</t>
  </si>
  <si>
    <t>C28</t>
  </si>
  <si>
    <t>5S</t>
  </si>
  <si>
    <t>1 St Floor</t>
  </si>
  <si>
    <t>Apartment 6B</t>
  </si>
  <si>
    <t>Jamaica</t>
  </si>
  <si>
    <t>Hollis</t>
  </si>
  <si>
    <t>South Richmond Hill</t>
  </si>
  <si>
    <t>Ridgewood</t>
  </si>
  <si>
    <t>Glendale</t>
  </si>
  <si>
    <t>Fresh Meadows</t>
  </si>
  <si>
    <t>Little Neck</t>
  </si>
  <si>
    <t>Flushing</t>
  </si>
  <si>
    <t>Long Is City</t>
  </si>
  <si>
    <t>S Richmond Hl</t>
  </si>
  <si>
    <t>Sunnyside</t>
  </si>
  <si>
    <t>Forest Hills</t>
  </si>
  <si>
    <t>Astoria</t>
  </si>
  <si>
    <t>Woodhaven</t>
  </si>
  <si>
    <t>Ozone Park</t>
  </si>
  <si>
    <t>College Point</t>
  </si>
  <si>
    <t>Laurelton</t>
  </si>
  <si>
    <t>S Ozone Park</t>
  </si>
  <si>
    <t>Elmhurst</t>
  </si>
  <si>
    <t>Corona</t>
  </si>
  <si>
    <t>Oakland Gdns</t>
  </si>
  <si>
    <t>Far Rockaway</t>
  </si>
  <si>
    <t>Sprngfld Gdns</t>
  </si>
  <si>
    <t>Richmond Hill</t>
  </si>
  <si>
    <t>Rockaway Park</t>
  </si>
  <si>
    <t>Kew Gardens</t>
  </si>
  <si>
    <t>RIDGEWOOD</t>
  </si>
  <si>
    <t>Queens Vlg</t>
  </si>
  <si>
    <t>Saint Albans</t>
  </si>
  <si>
    <t>Woodside</t>
  </si>
  <si>
    <t>Rego Park</t>
  </si>
  <si>
    <t>Rosedale</t>
  </si>
  <si>
    <t>Arverne</t>
  </si>
  <si>
    <t>Jackson Hts</t>
  </si>
  <si>
    <t>Cambria Hts</t>
  </si>
  <si>
    <t>Middle Vlg</t>
  </si>
  <si>
    <t>East Elmhurst</t>
  </si>
  <si>
    <t>Rockaway Bch</t>
  </si>
  <si>
    <t>Springfield Gardens</t>
  </si>
  <si>
    <t>Bayside</t>
  </si>
  <si>
    <t>Howard Beach</t>
  </si>
  <si>
    <t>Bellerose</t>
  </si>
  <si>
    <t>JAMAICA</t>
  </si>
  <si>
    <t>Whitestone</t>
  </si>
  <si>
    <t>Queens Village</t>
  </si>
  <si>
    <t>Jackson Heights</t>
  </si>
  <si>
    <t>Maspeth</t>
  </si>
  <si>
    <t>Long Island City</t>
  </si>
  <si>
    <t>Cambria Heights</t>
  </si>
  <si>
    <t>Floral Park</t>
  </si>
  <si>
    <t>ASTORIA</t>
  </si>
  <si>
    <t>Freeport</t>
  </si>
  <si>
    <t>Broad Channel</t>
  </si>
  <si>
    <t>Yes</t>
  </si>
  <si>
    <t>No</t>
  </si>
  <si>
    <t xml:space="preserve"> </t>
  </si>
  <si>
    <t>DHCI Form</t>
  </si>
  <si>
    <t>Active CA/SNAP</t>
  </si>
  <si>
    <t>None</t>
  </si>
  <si>
    <t>3124 Universal Access to Counsel – (UAC)</t>
  </si>
  <si>
    <t>3113 HPLP-Homelessness Prevention Law Project</t>
  </si>
  <si>
    <t>3018 Tenant Rights Coalition (TRC)</t>
  </si>
  <si>
    <t>3011 TRC FJC Initiative</t>
  </si>
  <si>
    <t>LT-067096-18/QU</t>
  </si>
  <si>
    <t>LT-063567-18/QU</t>
  </si>
  <si>
    <t>LT-063535-18/QU</t>
  </si>
  <si>
    <t>LT-060704-19/QU</t>
  </si>
  <si>
    <t>LT-074908-17/QU</t>
  </si>
  <si>
    <t>LT-052321-19/QU</t>
  </si>
  <si>
    <t>LT- 057749-19QU</t>
  </si>
  <si>
    <t>LT-056070-19/QU</t>
  </si>
  <si>
    <t>LT-068250-18/QU</t>
  </si>
  <si>
    <t>LT-014328-18/QU</t>
  </si>
  <si>
    <t>LT-053877-19/QU</t>
  </si>
  <si>
    <t>LT-059938-19/QU</t>
  </si>
  <si>
    <t>LT-051978-19/QU</t>
  </si>
  <si>
    <t>LT-058003-19/QU</t>
  </si>
  <si>
    <t>LT-063130-18/QU</t>
  </si>
  <si>
    <t>LT-050857-19/QU</t>
  </si>
  <si>
    <t>LT-064732-18/QU</t>
  </si>
  <si>
    <t>LT-006001-18/QU</t>
  </si>
  <si>
    <t>LT-077813-18/QU</t>
  </si>
  <si>
    <t>LT-061790-18/QU</t>
  </si>
  <si>
    <t>LT-056819-19/QU</t>
  </si>
  <si>
    <t>LT-052713-19</t>
  </si>
  <si>
    <t>LT-060728-19/QU</t>
  </si>
  <si>
    <t>LT-065612-18/QU</t>
  </si>
  <si>
    <t>LT-056202-19/QU</t>
  </si>
  <si>
    <t>LT-010826-19/QU</t>
  </si>
  <si>
    <t>LT-058185-19/QU</t>
  </si>
  <si>
    <t>LT-057247-19/QU</t>
  </si>
  <si>
    <t>LT-070698-18/QU</t>
  </si>
  <si>
    <t>LT-052054-19/QU</t>
  </si>
  <si>
    <t>LT-057553-19/QU</t>
  </si>
  <si>
    <t>LT-073791-18/QU</t>
  </si>
  <si>
    <t>LT-054677-18/QU</t>
  </si>
  <si>
    <t>LT-071333-18/QU</t>
  </si>
  <si>
    <t>LT-053731-19/QU</t>
  </si>
  <si>
    <t>LT-050543-19/QU</t>
  </si>
  <si>
    <t>LT-063963-18/QU</t>
  </si>
  <si>
    <t>LT-722200-18/QU</t>
  </si>
  <si>
    <t>LT-050056-19/QU</t>
  </si>
  <si>
    <t>LT-012873-18/QU</t>
  </si>
  <si>
    <t>LT-059438-19/QU</t>
  </si>
  <si>
    <t>LT-058110-19/QU</t>
  </si>
  <si>
    <t>LT-053396-19/QU</t>
  </si>
  <si>
    <t>LT-068178-18/QU</t>
  </si>
  <si>
    <t>LT-065966-18/QU</t>
  </si>
  <si>
    <t>LT-050334-19/QU</t>
  </si>
  <si>
    <t>LT-074835-18/QU</t>
  </si>
  <si>
    <t>LT-066032-18/QU</t>
  </si>
  <si>
    <t>LT-054223-18/QU</t>
  </si>
  <si>
    <t>LT-065494-18/QU</t>
  </si>
  <si>
    <t>LT-054677-19/QU</t>
  </si>
  <si>
    <t>LT-067968-18/QU</t>
  </si>
  <si>
    <t>LT-058857-19/QU</t>
  </si>
  <si>
    <t>LT-058642-19/QU</t>
  </si>
  <si>
    <t>LT-067657-18/QU</t>
  </si>
  <si>
    <t>LT-074089-18/QU</t>
  </si>
  <si>
    <t>LT-066492-18/QU</t>
  </si>
  <si>
    <t>LT-010306-19/QU</t>
  </si>
  <si>
    <t>LT-064728-18/QU</t>
  </si>
  <si>
    <t>LT-070534-18/QU</t>
  </si>
  <si>
    <t>LT-052581-18/QU</t>
  </si>
  <si>
    <t>LT-058430-19/QU</t>
  </si>
  <si>
    <t>LT-075224-18/QU</t>
  </si>
  <si>
    <t>LT-073458-18/QU</t>
  </si>
  <si>
    <t>LT-066123-18/QU</t>
  </si>
  <si>
    <t>LT-060285-19/QU</t>
  </si>
  <si>
    <t>LT-058995-19/QU</t>
  </si>
  <si>
    <t>LT-074282-18/QU</t>
  </si>
  <si>
    <t>LT-054742-19/QU</t>
  </si>
  <si>
    <t>LT-056967-19/QU</t>
  </si>
  <si>
    <t>LT-054744-19/QU</t>
  </si>
  <si>
    <t>LT-053446-18/QU</t>
  </si>
  <si>
    <t>LT-010643-19/QU</t>
  </si>
  <si>
    <t>LT-051266-19/QU</t>
  </si>
  <si>
    <t>LT-014216-18/QU</t>
  </si>
  <si>
    <t>LT-061394-18/QU</t>
  </si>
  <si>
    <t>LT-067264-18/QU</t>
  </si>
  <si>
    <t>LT-070195-18/QU</t>
  </si>
  <si>
    <t>LT-057034-19/QU</t>
  </si>
  <si>
    <t>LT-066442-18/QU</t>
  </si>
  <si>
    <t>LT-054748-18/QU</t>
  </si>
  <si>
    <t>LT-065275-18/QU</t>
  </si>
  <si>
    <t>LT-074445-18/QU</t>
  </si>
  <si>
    <t>SC 11164-16/QU</t>
  </si>
  <si>
    <t>LT-012707-18/QU</t>
  </si>
  <si>
    <t>LT-010022-19/QU</t>
  </si>
  <si>
    <t>LT-058895-19/QU</t>
  </si>
  <si>
    <t>LT-061477-18/QU</t>
  </si>
  <si>
    <t>LT-011816-18/QU</t>
  </si>
  <si>
    <t>LT-059987-18/QU</t>
  </si>
  <si>
    <t>LT-074557-18/QU</t>
  </si>
  <si>
    <t>LT-078352-18/QU</t>
  </si>
  <si>
    <t>LT-014198-18/QU</t>
  </si>
  <si>
    <t>LT-057700-18/QU</t>
  </si>
  <si>
    <t>LT-067913-18/QU</t>
  </si>
  <si>
    <t>LT-069270-18/QU</t>
  </si>
  <si>
    <t>NONE</t>
  </si>
  <si>
    <t>LT-059322-18/QU</t>
  </si>
  <si>
    <t>LT-054574-18/QU</t>
  </si>
  <si>
    <t>LT-012424-18/QU</t>
  </si>
  <si>
    <t>LT-057474-19/QU</t>
  </si>
  <si>
    <t>LT-069983-18/QU</t>
  </si>
  <si>
    <t>LT-072653-18/QU</t>
  </si>
  <si>
    <t>LT-068051-18/QU</t>
  </si>
  <si>
    <t>LT-071067-18/QU</t>
  </si>
  <si>
    <t>LT-057981-18/QU</t>
  </si>
  <si>
    <t>LT-065559-18/QU</t>
  </si>
  <si>
    <t>LT-058171-19/QU</t>
  </si>
  <si>
    <t>LT-063761-18/QU</t>
  </si>
  <si>
    <t>LT-073009-18/QU</t>
  </si>
  <si>
    <t>LT-077958-17/QU</t>
  </si>
  <si>
    <t>LT-070421-18/QU</t>
  </si>
  <si>
    <t>LT-071865-17/QU</t>
  </si>
  <si>
    <t>LT-073299-18/QU</t>
  </si>
  <si>
    <t>LT-070398-18/QU</t>
  </si>
  <si>
    <t>LT-066419-18/QU</t>
  </si>
  <si>
    <t>LT-077889-18/QU</t>
  </si>
  <si>
    <t>LT-068059-18/QU</t>
  </si>
  <si>
    <t>LT-012686-18/QU</t>
  </si>
  <si>
    <t>LT-065668-18/QU</t>
  </si>
  <si>
    <t>LT-077403-18/QU</t>
  </si>
  <si>
    <t>LT-075225-18/QU</t>
  </si>
  <si>
    <t>LT-62103-18 QU</t>
  </si>
  <si>
    <t>LT-050411-19/QU</t>
  </si>
  <si>
    <t>LT 58112-19/QU</t>
  </si>
  <si>
    <t>L&amp;T 0129-19 QU</t>
  </si>
  <si>
    <t>LT-006026-19/QU</t>
  </si>
  <si>
    <t>LT-052513-19/QU</t>
  </si>
  <si>
    <t>LT-051933-19/QU</t>
  </si>
  <si>
    <t>LT-059864-19/QU</t>
  </si>
  <si>
    <t>LT-65791-18/QU</t>
  </si>
  <si>
    <t>none yet</t>
  </si>
  <si>
    <t>L&amp;T 0053/19 QU</t>
  </si>
  <si>
    <t>LT-059177-19/QU</t>
  </si>
  <si>
    <t>LT-056685-19/QU</t>
  </si>
  <si>
    <t>LT-053757-19/QU</t>
  </si>
  <si>
    <t>HM 130106 OM</t>
  </si>
  <si>
    <t>LT-073766-18/QU</t>
  </si>
  <si>
    <t>LT-053310-19/QU</t>
  </si>
  <si>
    <t>LT-071774-18/QU</t>
  </si>
  <si>
    <t>LT-074424-18/QU</t>
  </si>
  <si>
    <t>LT-069916-18/QU</t>
  </si>
  <si>
    <t>LT-069731-18/QU</t>
  </si>
  <si>
    <t>LT-066738-18/QU</t>
  </si>
  <si>
    <t>LT-077681-18/QU</t>
  </si>
  <si>
    <t>LT-066297-18/QU</t>
  </si>
  <si>
    <t>LT-068781-18/QU</t>
  </si>
  <si>
    <t>LT-075283-18/QU</t>
  </si>
  <si>
    <t>LT-052841-19/QU</t>
  </si>
  <si>
    <t>LT-077314-18/QU</t>
  </si>
  <si>
    <t>LT-052797-19/QU</t>
  </si>
  <si>
    <t>LT-050289-19/QU</t>
  </si>
  <si>
    <t>LT-062999-18/QU</t>
  </si>
  <si>
    <t>LT-066139-18/QU</t>
  </si>
  <si>
    <t>LT-077375-18/QU</t>
  </si>
  <si>
    <t>LT-063096-18/QU</t>
  </si>
  <si>
    <t>LT-050969-19/QU</t>
  </si>
  <si>
    <t>LT-071549-18/QU</t>
  </si>
  <si>
    <t>LT-058925-18/QU</t>
  </si>
  <si>
    <t>LT-062448-18/QU</t>
  </si>
  <si>
    <t>LT-065791-18/QU</t>
  </si>
  <si>
    <t>LT-053965-19/QU</t>
  </si>
  <si>
    <t>LT-063179-18/QU</t>
  </si>
  <si>
    <t>LT-067408-18/QU</t>
  </si>
  <si>
    <t>LT-051575-19/QU</t>
  </si>
  <si>
    <t>LT-010766-19/QU</t>
  </si>
  <si>
    <t>LT-067442-18/QU</t>
  </si>
  <si>
    <t>LT-069357-18/QU</t>
  </si>
  <si>
    <t>LT-011204-18/QU</t>
  </si>
  <si>
    <t>LT-072072-18/QU</t>
  </si>
  <si>
    <t>LT-063786-18/QU</t>
  </si>
  <si>
    <t>LT-077428-18/QU</t>
  </si>
  <si>
    <t>LT-078674-18/QU</t>
  </si>
  <si>
    <t>LT-078441-18/QU</t>
  </si>
  <si>
    <t>LT-053348-19/QU</t>
  </si>
  <si>
    <t>LT-050923-19/QU</t>
  </si>
  <si>
    <t>LT-069960-18/QU</t>
  </si>
  <si>
    <t>LT-063993-18/QU</t>
  </si>
  <si>
    <t>LT-069481-18/QU</t>
  </si>
  <si>
    <t>LT-068355-18/QU</t>
  </si>
  <si>
    <t>LT-069776-18/QU</t>
  </si>
  <si>
    <t>LT-077861-18/QU</t>
  </si>
  <si>
    <t>LT-065592-18/QU</t>
  </si>
  <si>
    <t>LT-066796-18/QU</t>
  </si>
  <si>
    <t>LT-073888-18/QU</t>
  </si>
  <si>
    <t>LT-050080-19/QU</t>
  </si>
  <si>
    <t>LT-077052-18/QU</t>
  </si>
  <si>
    <t>LT-071835-18/QU</t>
  </si>
  <si>
    <t>LT-054487-19/QU</t>
  </si>
  <si>
    <t>LT-059114-19/QU</t>
  </si>
  <si>
    <t>LT-072605-18/QU</t>
  </si>
  <si>
    <t>LT-076304-18/QU</t>
  </si>
  <si>
    <t>LT-071155-18/QU</t>
  </si>
  <si>
    <t>LT-074430-18/QU</t>
  </si>
  <si>
    <t>LT-051498-19/QU</t>
  </si>
  <si>
    <t>LT-010237-19/QU</t>
  </si>
  <si>
    <t>LT-059205-19/QU</t>
  </si>
  <si>
    <t>LT-069277-18/QU</t>
  </si>
  <si>
    <t>LT-051149-19/QU</t>
  </si>
  <si>
    <t>LT-077061-18/QU</t>
  </si>
  <si>
    <t>LT-078291-18/QU</t>
  </si>
  <si>
    <t>LT-071012-18/QU</t>
  </si>
  <si>
    <t>LT-071917-18/QU</t>
  </si>
  <si>
    <t>LT-074457-18/QU</t>
  </si>
  <si>
    <t>LT-070911-18/QU</t>
  </si>
  <si>
    <t>LT-055619-18/QU</t>
  </si>
  <si>
    <t>LT-078974-18/QU</t>
  </si>
  <si>
    <t>LT-074710-18/QU</t>
  </si>
  <si>
    <t>LT-058237-19/QU</t>
  </si>
  <si>
    <t>LT-050019-19/QU</t>
  </si>
  <si>
    <t>LT-060313-18/QU</t>
  </si>
  <si>
    <t>LT-068840-18/QU</t>
  </si>
  <si>
    <t>LT-055942-16/QU</t>
  </si>
  <si>
    <t>LT-071730-18/QU</t>
  </si>
  <si>
    <t>LT-012281-18/QU</t>
  </si>
  <si>
    <t>LT-060130-19/QU</t>
  </si>
  <si>
    <t>LT-074039-18/QU</t>
  </si>
  <si>
    <t>LT-067972-18/QU</t>
  </si>
  <si>
    <t>LT-064727-18/QU</t>
  </si>
  <si>
    <t>LT-073134-18/QU</t>
  </si>
  <si>
    <t>LT-071094-18/QU</t>
  </si>
  <si>
    <t>LT-050703-19/QU</t>
  </si>
  <si>
    <t>LT-014145-18/QU</t>
  </si>
  <si>
    <t>LT-053069-19/QU</t>
  </si>
  <si>
    <t>LT-077234-18/QU</t>
  </si>
  <si>
    <t>LT-069590-18/QU</t>
  </si>
  <si>
    <t>LT-067733-18/QU</t>
  </si>
  <si>
    <t>LT-072551-18/QU</t>
  </si>
  <si>
    <t>LT-078460-18/QU</t>
  </si>
  <si>
    <t>LT-064020-18/QU</t>
  </si>
  <si>
    <t>LT-067930-18/QU</t>
  </si>
  <si>
    <t>LT-054894-19/QU</t>
  </si>
  <si>
    <t>LT-057272-19/QU</t>
  </si>
  <si>
    <t>LT-059696-19/QU</t>
  </si>
  <si>
    <t>LT-074036-18/QU</t>
  </si>
  <si>
    <t>LT-053555-19/QU</t>
  </si>
  <si>
    <t>LT-051719-19/QU</t>
  </si>
  <si>
    <t>LT-058405-19/QU</t>
  </si>
  <si>
    <t>LT-065347-18/QU</t>
  </si>
  <si>
    <t>LT-014160-17/QU</t>
  </si>
  <si>
    <t>LT-069497-18/QU</t>
  </si>
  <si>
    <t>LT-070645-18/QU</t>
  </si>
  <si>
    <t>LT-010919-18/QU</t>
  </si>
  <si>
    <t>LT-076060-18/QU</t>
  </si>
  <si>
    <t>LT-072849-18/QU</t>
  </si>
  <si>
    <t>LT-059883-19/QU</t>
  </si>
  <si>
    <t>LT-057800-18/QU</t>
  </si>
  <si>
    <t>LT-050039-18/QU</t>
  </si>
  <si>
    <t>LT-070009-18/QU</t>
  </si>
  <si>
    <t>LT-054331-19/QU</t>
  </si>
  <si>
    <t>LT-063928-18/QU</t>
  </si>
  <si>
    <t>LT-073258-18/QU</t>
  </si>
  <si>
    <t>LT-068573-18/QU</t>
  </si>
  <si>
    <t>LT-050044-19/QU</t>
  </si>
  <si>
    <t>LT-001659-18/QU</t>
  </si>
  <si>
    <t>LT-066864-18/QU</t>
  </si>
  <si>
    <t>LT-081279-16/QU</t>
  </si>
  <si>
    <t>LT-055366-19/QU</t>
  </si>
  <si>
    <t>LT-073906-18/QU</t>
  </si>
  <si>
    <t>LT-064556-18/QU</t>
  </si>
  <si>
    <t>LT-053125-19/QU</t>
  </si>
  <si>
    <t>LT-072034-18/QU</t>
  </si>
  <si>
    <t>LT-060531-19/QU</t>
  </si>
  <si>
    <t>LT-067937-18/QU</t>
  </si>
  <si>
    <t>LT-057898-18/QU</t>
  </si>
  <si>
    <t>LT-053769-19/QU</t>
  </si>
  <si>
    <t>LT-070740-18/QU</t>
  </si>
  <si>
    <t>LT-064014-18/QU</t>
  </si>
  <si>
    <t>LT-053242-19/QU</t>
  </si>
  <si>
    <t>LT-059605-19/QU</t>
  </si>
  <si>
    <t>LT-010280-19/QU</t>
  </si>
  <si>
    <t>LT-067451-18/QU</t>
  </si>
  <si>
    <t>LT-012208-18/QU</t>
  </si>
  <si>
    <t>LT-066856-18/QU</t>
  </si>
  <si>
    <t>LT-057607-19/QU</t>
  </si>
  <si>
    <t>LT-059578-19/QU</t>
  </si>
  <si>
    <t>LT-059756-18/QU</t>
  </si>
  <si>
    <t>LT-059810-19/QU</t>
  </si>
  <si>
    <t>LT-076174-18/QU</t>
  </si>
  <si>
    <t>LT-58508-19/QU</t>
  </si>
  <si>
    <t>LT-065001-18/QU</t>
  </si>
  <si>
    <t>LT-073708-18/QU</t>
  </si>
  <si>
    <t>LT-070678-18/QU</t>
  </si>
  <si>
    <t>LT-012752-18/QU</t>
  </si>
  <si>
    <t>LT-074418-18/QU</t>
  </si>
  <si>
    <t>LT-050510-18/QU</t>
  </si>
  <si>
    <t>LT-050314-19/QU</t>
  </si>
  <si>
    <t>LT-070007-18/QU</t>
  </si>
  <si>
    <t>LT-077465-18/QU</t>
  </si>
  <si>
    <t>LT-073470-18/QU</t>
  </si>
  <si>
    <t>LT-068728-18/QU</t>
  </si>
  <si>
    <t>LT-066163-18/QU</t>
  </si>
  <si>
    <t>LT-067802-18/QU</t>
  </si>
  <si>
    <t>LT-056552-19/QU</t>
  </si>
  <si>
    <t>LT-060649-18/QU</t>
  </si>
  <si>
    <t>LT-073750-18/QU</t>
  </si>
  <si>
    <t>LT-050301-19/QU</t>
  </si>
  <si>
    <t>LT-057550-19/QU</t>
  </si>
  <si>
    <t>LT-067276-18/QU</t>
  </si>
  <si>
    <t>LT-072218-18/QU</t>
  </si>
  <si>
    <t>LT-075147-18/QU</t>
  </si>
  <si>
    <t>LT-052742-19/QU</t>
  </si>
  <si>
    <t>LT-064367-18/QU</t>
  </si>
  <si>
    <t>LT-052950-19/QU</t>
  </si>
  <si>
    <t>LT-076830-18/QU</t>
  </si>
  <si>
    <t>LT-061872-18/QU</t>
  </si>
  <si>
    <t>LT-070972-18/QU</t>
  </si>
  <si>
    <t>LT-013930-18/QU</t>
  </si>
  <si>
    <t>LT-050213-19/QU</t>
  </si>
  <si>
    <t>LT-077460-18/QU</t>
  </si>
  <si>
    <t>LT-056748-19/QU</t>
  </si>
  <si>
    <t>LT-050786-19/QU</t>
  </si>
  <si>
    <t>LT-050704-19/QU</t>
  </si>
  <si>
    <t>LT-011276-19/QU</t>
  </si>
  <si>
    <t>LT-053292-19/QU</t>
  </si>
  <si>
    <t>LT-078995-18/QU</t>
  </si>
  <si>
    <t>LT-050436-19/QU</t>
  </si>
  <si>
    <t>LT-076111-18/QU</t>
  </si>
  <si>
    <t>LT-061265-18/QU</t>
  </si>
  <si>
    <t>no case yet</t>
  </si>
  <si>
    <t>LT-067656-18/QU</t>
  </si>
  <si>
    <t>LT-050206-19/QU</t>
  </si>
  <si>
    <t>LT-077252-18/QU</t>
  </si>
  <si>
    <t>LT-059877-19/QU</t>
  </si>
  <si>
    <t>LT-075821-18/QU</t>
  </si>
  <si>
    <t>LT-069409-18/QU</t>
  </si>
  <si>
    <t>LT-054507-19/QU</t>
  </si>
  <si>
    <t>LT-063095-18/QU</t>
  </si>
  <si>
    <t>LT-056258-18/QU</t>
  </si>
  <si>
    <t>LT-050028-19/QU</t>
  </si>
  <si>
    <t>LT-062875-18/QU</t>
  </si>
  <si>
    <t>LT-050048-18/QU</t>
  </si>
  <si>
    <t>LT-069016-18/QU</t>
  </si>
  <si>
    <t>LT-061497-17/QU</t>
  </si>
  <si>
    <t>LT-067445-18/QU</t>
  </si>
  <si>
    <t>LT-057414-19/QU</t>
  </si>
  <si>
    <t>LT-068745-18/QU</t>
  </si>
  <si>
    <t>LT-057344-18/QU</t>
  </si>
  <si>
    <t>LT-055638-19/QU</t>
  </si>
  <si>
    <t>LT-070008-18/QU</t>
  </si>
  <si>
    <t>LT-007655-18/QU</t>
  </si>
  <si>
    <t>LT-078529-18/QU</t>
  </si>
  <si>
    <t>LT-063886-18/QU</t>
  </si>
  <si>
    <t>LT-065145-18/QU</t>
  </si>
  <si>
    <t>LT-065163-18/QU</t>
  </si>
  <si>
    <t>LT-73000-18/qu</t>
  </si>
  <si>
    <t>LT-065476-18/QU</t>
  </si>
  <si>
    <t>LT-071689-18/QU</t>
  </si>
  <si>
    <t>LT-014365-18/QU</t>
  </si>
  <si>
    <t>LT-065585-18/QU</t>
  </si>
  <si>
    <t>LT-053909-19/QU</t>
  </si>
  <si>
    <t>LT-059655-19/QU</t>
  </si>
  <si>
    <t>LT-073687-18/QU</t>
  </si>
  <si>
    <t>LT-055164-19/QU</t>
  </si>
  <si>
    <t>LT-064080-18/QU</t>
  </si>
  <si>
    <t>LT-050351-19/QU</t>
  </si>
  <si>
    <t>LT-050126-19/QU</t>
  </si>
  <si>
    <t>LT-076242-18/QU</t>
  </si>
  <si>
    <t>LT-053243-19/QU</t>
  </si>
  <si>
    <t>LT-052846-18/QU</t>
  </si>
  <si>
    <t>LT-062794-18/QU</t>
  </si>
  <si>
    <t>LT-073686-18/QU</t>
  </si>
  <si>
    <t>LT-076226-18/QU</t>
  </si>
  <si>
    <t>LT-056631-19/QU</t>
  </si>
  <si>
    <t>LT-052231-19/QU</t>
  </si>
  <si>
    <t>LT-056962-19/QU</t>
  </si>
  <si>
    <t>LT-059878-19/QU</t>
  </si>
  <si>
    <t>LT-000482-18/QU</t>
  </si>
  <si>
    <t>LT-060414-18/QU</t>
  </si>
  <si>
    <t>LT-062143-18/QU</t>
  </si>
  <si>
    <t>LT-057759-19/QU</t>
  </si>
  <si>
    <t>LT-056143-19/QU</t>
  </si>
  <si>
    <t>LT-070833-18/QU</t>
  </si>
  <si>
    <t>LT-059904-18/QU</t>
  </si>
  <si>
    <t>LT-061047-18/QU</t>
  </si>
  <si>
    <t>LT-073280-18/QU</t>
  </si>
  <si>
    <t>LT-076889-18/QU</t>
  </si>
  <si>
    <t>LT-070279-18/QU</t>
  </si>
  <si>
    <t>LT-075371-18/QU</t>
  </si>
  <si>
    <t>LT-000000-18/QU</t>
  </si>
  <si>
    <t>SC-710435-18/QU</t>
  </si>
  <si>
    <t>LT-050137-19/QU</t>
  </si>
  <si>
    <t>LT-055418-19/QU</t>
  </si>
  <si>
    <t>LT-070278-18/QU</t>
  </si>
  <si>
    <t>LT-067410-18/QU</t>
  </si>
  <si>
    <t>LT-051426-19/QU</t>
  </si>
  <si>
    <t>LT-060094-19/QU</t>
  </si>
  <si>
    <t>LT-071523-18/QU</t>
  </si>
  <si>
    <t>LT-053532-19/QU</t>
  </si>
  <si>
    <t>LT-056994-19/QU</t>
  </si>
  <si>
    <t>LT-077462-18/QU</t>
  </si>
  <si>
    <t>LT-051169-19/QU</t>
  </si>
  <si>
    <t>LT-052068-19/QU</t>
  </si>
  <si>
    <t>LT-063767-18/QU</t>
  </si>
  <si>
    <t>LT-060275-19/QU</t>
  </si>
  <si>
    <t>LT-050610-17/QU</t>
  </si>
  <si>
    <t>LT-067531-18/QU</t>
  </si>
  <si>
    <t>LT-068426-18/QU</t>
  </si>
  <si>
    <t>LT-079686-18/QU</t>
  </si>
  <si>
    <t>LT-063779-18/QU</t>
  </si>
  <si>
    <t>LT-073103-18/QU</t>
  </si>
  <si>
    <t>LT-060043-19/QU</t>
  </si>
  <si>
    <t>LT-011765-18/QU</t>
  </si>
  <si>
    <t>LT-051526-19/QU</t>
  </si>
  <si>
    <t>LT-076029-18/QU</t>
  </si>
  <si>
    <t>LT-073122-18/QU</t>
  </si>
  <si>
    <t>LT-052044-19/QU</t>
  </si>
  <si>
    <t>LT-052403-19/QU</t>
  </si>
  <si>
    <t>LT-053992-19/QU</t>
  </si>
  <si>
    <t>LT-058928-18/QU</t>
  </si>
  <si>
    <t>LT-054549-19/QU</t>
  </si>
  <si>
    <t>LT-075853-18/QU</t>
  </si>
  <si>
    <t>LT-053560-18/QU</t>
  </si>
  <si>
    <t>No Case</t>
  </si>
  <si>
    <t>LT-068888-18/QU</t>
  </si>
  <si>
    <t>none</t>
  </si>
  <si>
    <t>LT-013308-18/QU</t>
  </si>
  <si>
    <t>LT-050328-18/QU</t>
  </si>
  <si>
    <t>LT-071723-18/QU</t>
  </si>
  <si>
    <t>LT-073550-18/QU</t>
  </si>
  <si>
    <t>LT-054442-19/QU</t>
  </si>
  <si>
    <t>LT-070488-18/QU</t>
  </si>
  <si>
    <t>LT-054096-19/QU</t>
  </si>
  <si>
    <t>LT-064700-18/QU</t>
  </si>
  <si>
    <t>LT-054160-19/QU</t>
  </si>
  <si>
    <t>LT-074234-18/QU</t>
  </si>
  <si>
    <t>LT-071217-18/QU</t>
  </si>
  <si>
    <t>LT-065296-18/QU</t>
  </si>
  <si>
    <t>LT-074915-18/QU</t>
  </si>
  <si>
    <t>LT-073275-18/QU</t>
  </si>
  <si>
    <t>LT-069839-18/QU</t>
  </si>
  <si>
    <t>LT-013299-18/QU</t>
  </si>
  <si>
    <t>LT-050521-19/QU</t>
  </si>
  <si>
    <t>LT-056014-19/QU</t>
  </si>
  <si>
    <t>LT-066387-18/QU</t>
  </si>
  <si>
    <t>LT-078777-18/QU</t>
  </si>
  <si>
    <t>LT-068647-18/QU</t>
  </si>
  <si>
    <t>LT-069796-18/QU</t>
  </si>
  <si>
    <t>LT-066633-18/QU</t>
  </si>
  <si>
    <t>LT-074489-18/QU</t>
  </si>
  <si>
    <t>LT-068254-18/QU</t>
  </si>
  <si>
    <t>LT-067729-18/QU</t>
  </si>
  <si>
    <t>LT-074902-18/QU</t>
  </si>
  <si>
    <t>LT-013188-18/QU</t>
  </si>
  <si>
    <t>LT-073403-18/QU</t>
  </si>
  <si>
    <t>LT-065546-18/QU</t>
  </si>
  <si>
    <t>LT-063735-17/QU</t>
  </si>
  <si>
    <t>LT-050446-19/QU</t>
  </si>
  <si>
    <t>LT-062075-18/QU</t>
  </si>
  <si>
    <t>LT-070440-18/QU</t>
  </si>
  <si>
    <t>LT-065045-18/QU</t>
  </si>
  <si>
    <t>LT-055115-19/QU</t>
  </si>
  <si>
    <t>LT-072091-18/QU</t>
  </si>
  <si>
    <t>LT-010276-19/QU</t>
  </si>
  <si>
    <t>LT-075174-18/QU</t>
  </si>
  <si>
    <t>LT-068588-18/QU</t>
  </si>
  <si>
    <t>LT-068712-18/QU</t>
  </si>
  <si>
    <t>LT-067251-18/QU</t>
  </si>
  <si>
    <t>LT-067454-18/QU</t>
  </si>
  <si>
    <t>LT-073933-17/QU</t>
  </si>
  <si>
    <t>LT-067324-18/QU</t>
  </si>
  <si>
    <t>LT-068555-18/QU</t>
  </si>
  <si>
    <t>LT-064752-18/QU</t>
  </si>
  <si>
    <t>LT-063523-18/QU</t>
  </si>
  <si>
    <t>LT-066423-18/QU</t>
  </si>
  <si>
    <t>LT-068852-18/QU</t>
  </si>
  <si>
    <t>LT-063805-18/QU</t>
  </si>
  <si>
    <t>LT-064509-18/QU</t>
  </si>
  <si>
    <t>LT-057361-18/QU</t>
  </si>
  <si>
    <t>LT-064484-18/QU</t>
  </si>
  <si>
    <t>058807/19</t>
  </si>
  <si>
    <t>59281/19</t>
  </si>
  <si>
    <t>LT-079006-18/QU</t>
  </si>
  <si>
    <t>LT-054577-19/QU</t>
  </si>
  <si>
    <t>LT-011592-19/QU</t>
  </si>
  <si>
    <t>LT-050579-19/QU</t>
  </si>
  <si>
    <t>LT-057057-19/QU</t>
  </si>
  <si>
    <t>LT-0620925-19/QU</t>
  </si>
  <si>
    <t>LT-059648-19/QU</t>
  </si>
  <si>
    <t>LT-052975-19/QU</t>
  </si>
  <si>
    <t>LT-060657-19/QU</t>
  </si>
  <si>
    <t>LT-052071-19/QU</t>
  </si>
  <si>
    <t>058115/18</t>
  </si>
  <si>
    <t>LT-055884-19/QU</t>
  </si>
  <si>
    <t>LT-060379-19/QU</t>
  </si>
  <si>
    <t>LT-060044-19/QU</t>
  </si>
  <si>
    <t>LT-060790-19/QU</t>
  </si>
  <si>
    <t>LT-074285-18/QU</t>
  </si>
  <si>
    <t>LT-056902-19/QU</t>
  </si>
  <si>
    <t>LT-059649-19/QU</t>
  </si>
  <si>
    <t>LT-053257-19/QU</t>
  </si>
  <si>
    <t>LT-056511-19/QU</t>
  </si>
  <si>
    <t>LT-056837-19/QU</t>
  </si>
  <si>
    <t>LT-057674-19/QU</t>
  </si>
  <si>
    <t>LT-053861-19/QU</t>
  </si>
  <si>
    <t>LT-059000-19/QU</t>
  </si>
  <si>
    <t>LT-059597-19/QU</t>
  </si>
  <si>
    <t>LT-076427-18/QU</t>
  </si>
  <si>
    <t>LT-055234-19/QU</t>
  </si>
  <si>
    <t>LT-068496-18/QU</t>
  </si>
  <si>
    <t>LT-055802-19/QU</t>
  </si>
  <si>
    <t>LT-069916-16/QU</t>
  </si>
  <si>
    <t>LT-060260-19/QU</t>
  </si>
  <si>
    <t>LT-077247-18/QU</t>
  </si>
  <si>
    <t>LT-060904-19/QU</t>
  </si>
  <si>
    <t>LT-060227-19/QU</t>
  </si>
  <si>
    <t>LT-058507-19/QU</t>
  </si>
  <si>
    <t>LT-010288-19/QU</t>
  </si>
  <si>
    <t>LT-057627-19/QU</t>
  </si>
  <si>
    <t>LT-056049-19/QU</t>
  </si>
  <si>
    <t>LT-010275-19/QU</t>
  </si>
  <si>
    <t>LT-076317-18/QU</t>
  </si>
  <si>
    <t>LT-057415-19/QU</t>
  </si>
  <si>
    <t>LT-078642-18/QU</t>
  </si>
  <si>
    <t>LT-056809-19/QU</t>
  </si>
  <si>
    <t>LT-57380-19/QU</t>
  </si>
  <si>
    <t>LT-076469-18/QU</t>
  </si>
  <si>
    <t>LT-078253-18/QU</t>
  </si>
  <si>
    <t>LT-072020-18/QU</t>
  </si>
  <si>
    <t>LT-013945-18/QU</t>
  </si>
  <si>
    <t>LT-051324-19/QU</t>
  </si>
  <si>
    <t>LT-055133-19/QU</t>
  </si>
  <si>
    <t>LT-066179-18/QU</t>
  </si>
  <si>
    <t>no case</t>
  </si>
  <si>
    <t>LT-078588-18/QU</t>
  </si>
  <si>
    <t>LT-059797-19/QU</t>
  </si>
  <si>
    <t>LT-077039-17/QU</t>
  </si>
  <si>
    <t>LT-052953-19/QU</t>
  </si>
  <si>
    <t>LT-051160-19/QU</t>
  </si>
  <si>
    <t>LT-072062-18/QU</t>
  </si>
  <si>
    <t>LT-012889-18/QU</t>
  </si>
  <si>
    <t>LT-11426-19/QU</t>
  </si>
  <si>
    <t>LT-074904-18/QU</t>
  </si>
  <si>
    <t>LT-055862-19/QU</t>
  </si>
  <si>
    <t>LT-062563-18/QU</t>
  </si>
  <si>
    <t>LT-053835-19/QU</t>
  </si>
  <si>
    <t>LT-071603-18/QU</t>
  </si>
  <si>
    <t>LT-074443-18/QU</t>
  </si>
  <si>
    <t>LT-056495-19/QU</t>
  </si>
  <si>
    <t>LT-076016-18/QU</t>
  </si>
  <si>
    <t>LT-072853-18/QU</t>
  </si>
  <si>
    <t>LT-069996-18/QU</t>
  </si>
  <si>
    <t>LT-050518-18/QU</t>
  </si>
  <si>
    <t>LT-050405-19/QU</t>
  </si>
  <si>
    <t>LT-052758-18/QU</t>
  </si>
  <si>
    <t>LT-053397-19/QU</t>
  </si>
  <si>
    <t>LT-050053-19/QU</t>
  </si>
  <si>
    <t>LT-053566-19/QU</t>
  </si>
  <si>
    <t>LT-056875-19/QU</t>
  </si>
  <si>
    <t>LT-074531-18/QU</t>
  </si>
  <si>
    <t>LT-071514-18/QU</t>
  </si>
  <si>
    <t>LT-074575-18/QU</t>
  </si>
  <si>
    <t>LT-050208-19/QU</t>
  </si>
  <si>
    <t>LT-708901-18/QU</t>
  </si>
  <si>
    <t>LT-070502-18/QU</t>
  </si>
  <si>
    <t>LT-052273-19/QU</t>
  </si>
  <si>
    <t>LT-565552-19/QU</t>
  </si>
  <si>
    <t>LT-076019-18/QU</t>
  </si>
  <si>
    <t>LT-070888-18/QU</t>
  </si>
  <si>
    <t>LT-070649-18/QU</t>
  </si>
  <si>
    <t>LT-068704-18/QU</t>
  </si>
  <si>
    <t>LT-060544-18/QU</t>
  </si>
  <si>
    <t>LT-071240-18/QU</t>
  </si>
  <si>
    <t>LT-52542-19/QU</t>
  </si>
  <si>
    <t>LT-068340-18/QU</t>
  </si>
  <si>
    <t>LT-073319-18/QU</t>
  </si>
  <si>
    <t>LT-078251-18/QU</t>
  </si>
  <si>
    <t>LT-75756-18/QU</t>
  </si>
  <si>
    <t>NO CASE</t>
  </si>
  <si>
    <t>LT-069364-18/QU</t>
  </si>
  <si>
    <t>LT-051100-19/QU</t>
  </si>
  <si>
    <t>LT-056245-19/QU</t>
  </si>
  <si>
    <t>LT-079108-18/QU</t>
  </si>
  <si>
    <t>LT-072264-18/QU</t>
  </si>
  <si>
    <t>LT-069663-18/QU</t>
  </si>
  <si>
    <t>LT-065589-18/QU</t>
  </si>
  <si>
    <t>LT-054296-18/QU</t>
  </si>
  <si>
    <t>LT-057468-19/QU</t>
  </si>
  <si>
    <t>LT-069799-18/QU</t>
  </si>
  <si>
    <t>LT-069770-18/QU</t>
  </si>
  <si>
    <t>LT-073312-18/QU</t>
  </si>
  <si>
    <t>LT-071542-18/QU</t>
  </si>
  <si>
    <t>LT-071306-18/QU</t>
  </si>
  <si>
    <t>LT-055254-19/QU</t>
  </si>
  <si>
    <t>LT-053837-19/QU</t>
  </si>
  <si>
    <t>LT-535569-19/QU</t>
  </si>
  <si>
    <t>LT-058751-17/QU</t>
  </si>
  <si>
    <t>LT-001355-18/QU</t>
  </si>
  <si>
    <t>LT-071257-18/QU</t>
  </si>
  <si>
    <t>LT-051950-19/QU</t>
  </si>
  <si>
    <t>LT-060144-18/QU</t>
  </si>
  <si>
    <t>LT-070725-18/QU</t>
  </si>
  <si>
    <t>LT-071051-18/QU</t>
  </si>
  <si>
    <t>LT-066567-18/QU</t>
  </si>
  <si>
    <t>LT-051317-19/QU</t>
  </si>
  <si>
    <t>LT-074290-18/QU</t>
  </si>
  <si>
    <t>LT-050670-19/QU</t>
  </si>
  <si>
    <t>LT-077898-18/QU</t>
  </si>
  <si>
    <t>LT-051039-19/QU</t>
  </si>
  <si>
    <t>LT-060746-18/QU</t>
  </si>
  <si>
    <t>LT-77457-18/QU</t>
  </si>
  <si>
    <t>LT-065205-18/QU</t>
  </si>
  <si>
    <t>LT-056734-19/QU</t>
  </si>
  <si>
    <t>LT-069821-18/QU</t>
  </si>
  <si>
    <t>LT-070186-18/QU</t>
  </si>
  <si>
    <t>LT-073227-18/QU</t>
  </si>
  <si>
    <t>LT-070871-18/QU</t>
  </si>
  <si>
    <t>LT-056823-19/QU</t>
  </si>
  <si>
    <t>LT-070492-18/QU</t>
  </si>
  <si>
    <t>LT-063787-18/QU</t>
  </si>
  <si>
    <t>LT-074637-18/QU</t>
  </si>
  <si>
    <t>LT-076504-18/QU</t>
  </si>
  <si>
    <t>LT-073171-18/QU</t>
  </si>
  <si>
    <t>LT-06300-18/QU</t>
  </si>
  <si>
    <t>LT-069985-18/QU</t>
  </si>
  <si>
    <t>LT-069456-18/QU</t>
  </si>
  <si>
    <t>LT-050470-19/QU</t>
  </si>
  <si>
    <t>LT-050339-19/QU</t>
  </si>
  <si>
    <t>LT-078840-18/QU</t>
  </si>
  <si>
    <t>LT-070511-18/QU</t>
  </si>
  <si>
    <t>LT-070881-18/QU</t>
  </si>
  <si>
    <t>LT-073047-18/QU</t>
  </si>
  <si>
    <t>LT-065949-18/QU</t>
  </si>
  <si>
    <t>LT-065814-18/QU</t>
  </si>
  <si>
    <t>LT-073731-18/QU</t>
  </si>
  <si>
    <t>LT-077779-18/QU</t>
  </si>
  <si>
    <t>LT-070865-18/QU</t>
  </si>
  <si>
    <t>LT-072863-18/QU</t>
  </si>
  <si>
    <t>LT-076733-18/QU</t>
  </si>
  <si>
    <t>006712/2018</t>
  </si>
  <si>
    <t>No case</t>
  </si>
  <si>
    <t>LT-056778-18/QU</t>
  </si>
  <si>
    <t>LT-59994-19/QU</t>
  </si>
  <si>
    <t>LT-74424-18/QU</t>
  </si>
  <si>
    <t>LT-050433-19/QU</t>
  </si>
  <si>
    <t>LT-073625-18/QU</t>
  </si>
  <si>
    <t>LT-078992-18/QU</t>
  </si>
  <si>
    <t>LT-052631-18/QU</t>
  </si>
  <si>
    <t>LT-077983-18/QU</t>
  </si>
  <si>
    <t>LT-050658-19/QU</t>
  </si>
  <si>
    <t>LT-001050-18/QU</t>
  </si>
  <si>
    <t>LT-067814-18/QU</t>
  </si>
  <si>
    <t>LT-56760-19/QU</t>
  </si>
  <si>
    <t>LT-073080-17/QU</t>
  </si>
  <si>
    <t>LT-073327-18/QU</t>
  </si>
  <si>
    <t>LT-058963-19/QU</t>
  </si>
  <si>
    <t>LT-071144-18/QU</t>
  </si>
  <si>
    <t>LT-074824-18/QU</t>
  </si>
  <si>
    <t>LT-063488-18/QU</t>
  </si>
  <si>
    <t>LT-056458-18/QU</t>
  </si>
  <si>
    <t>LT-070657-18/QU</t>
  </si>
  <si>
    <t>LT-074683-18/QU</t>
  </si>
  <si>
    <t>LT-064751-18/QU</t>
  </si>
  <si>
    <t>LT-070641-18/QU</t>
  </si>
  <si>
    <t>LT-056724-19/QU</t>
  </si>
  <si>
    <t>LT-65209-18/QU</t>
  </si>
  <si>
    <t>LT-070883-18/QU</t>
  </si>
  <si>
    <t>LT-053323-18/QU</t>
  </si>
  <si>
    <t>LT-061389-18/QU</t>
  </si>
  <si>
    <t>LT-011822-18/QU</t>
  </si>
  <si>
    <t>LT-050657-19/QU</t>
  </si>
  <si>
    <t>LT-056873-19/QU</t>
  </si>
  <si>
    <t>LT-006139-18/QU</t>
  </si>
  <si>
    <t>LT-073102-18/QU</t>
  </si>
  <si>
    <t>LT-070514-18/QU</t>
  </si>
  <si>
    <t>LT-071426-18/QU</t>
  </si>
  <si>
    <t>LT-55642-18/QU</t>
  </si>
  <si>
    <t>LT-063408-18/QU</t>
  </si>
  <si>
    <t>LT-05850219/QU</t>
  </si>
  <si>
    <t>LT-071999-18/QU</t>
  </si>
  <si>
    <t>LT-068050-18/QU</t>
  </si>
  <si>
    <t>LT-063812-18/QU</t>
  </si>
  <si>
    <t>LT-053021-19/QU</t>
  </si>
  <si>
    <t>LT-064219-18/QU</t>
  </si>
  <si>
    <t>LT-060254-18/QU</t>
  </si>
  <si>
    <t>LT-076980-18/QU</t>
  </si>
  <si>
    <t>LT-060353-19/QU</t>
  </si>
  <si>
    <t>LT-055771-19/QU</t>
  </si>
  <si>
    <t>LT-075056-18/QU</t>
  </si>
  <si>
    <t>LT-078103-18/QU</t>
  </si>
  <si>
    <t>LT-057049-18/QU</t>
  </si>
  <si>
    <t>LT-057076-19/QU</t>
  </si>
  <si>
    <t>LT-070453-18/QU</t>
  </si>
  <si>
    <t>LT-060985-18/QU</t>
  </si>
  <si>
    <t>LT-072727-18/QU</t>
  </si>
  <si>
    <t>LT-051535-18/QU</t>
  </si>
  <si>
    <t>LT-010407-19/QU</t>
  </si>
  <si>
    <t>LT-73274-18/QU</t>
  </si>
  <si>
    <t>LT-076706-18/QU</t>
  </si>
  <si>
    <t>LT-054966-19/QU</t>
  </si>
  <si>
    <t>LT-069431-18/QU</t>
  </si>
  <si>
    <t>LT-050361-18/QU</t>
  </si>
  <si>
    <t>LT-051579-19/QU</t>
  </si>
  <si>
    <t>LT-080600-17/QU</t>
  </si>
  <si>
    <t>LT-064762-18/QU</t>
  </si>
  <si>
    <t>LT-061006-19/QU</t>
  </si>
  <si>
    <t>LT-057577-19/QU</t>
  </si>
  <si>
    <t>LT-063808-18/QU</t>
  </si>
  <si>
    <t>LT-071513-18/QU</t>
  </si>
  <si>
    <t>LT-070656-18/QU</t>
  </si>
  <si>
    <t>LT-077041-18/QU</t>
  </si>
  <si>
    <t>LT-076387-18/QU</t>
  </si>
  <si>
    <t>LT-057407-19/QU</t>
  </si>
  <si>
    <t>LT-067605-18/QU</t>
  </si>
  <si>
    <t>LT-051150-19/QU</t>
  </si>
  <si>
    <t>LT-069834-18/QU</t>
  </si>
  <si>
    <t>LT-077618-18/QU</t>
  </si>
  <si>
    <t>LT-053065-18/QU</t>
  </si>
  <si>
    <t>LT-075030-18/QU</t>
  </si>
  <si>
    <t>LT-073981-18/QU</t>
  </si>
  <si>
    <t>LT-076251-18/QU</t>
  </si>
  <si>
    <t>LT-066627-18/QU</t>
  </si>
  <si>
    <t>LT-057383-19/QU</t>
  </si>
  <si>
    <t>LT-053425-19/QU</t>
  </si>
  <si>
    <t>LT-050033-19/QU</t>
  </si>
  <si>
    <t>LT-073315-18/QU</t>
  </si>
  <si>
    <t>LT-066547-18/QU</t>
  </si>
  <si>
    <t>LT-068893-18/QU</t>
  </si>
  <si>
    <t>LT-068639-18/QU</t>
  </si>
  <si>
    <t>LT-058434/QU</t>
  </si>
  <si>
    <t>LT-058527-19/QU</t>
  </si>
  <si>
    <t>LT-056461-19/QU</t>
  </si>
  <si>
    <t>LT-051980-19/QU</t>
  </si>
  <si>
    <t>LT-069621-18/QU</t>
  </si>
  <si>
    <t>LT-055092-19/QU</t>
  </si>
  <si>
    <t>LT-058258-19/QU</t>
  </si>
  <si>
    <t>LT-077275-18/QU</t>
  </si>
  <si>
    <t>LT-077250-18/QU</t>
  </si>
  <si>
    <t>LT-078341-18/QU</t>
  </si>
  <si>
    <t>LT-057650-19/QU</t>
  </si>
  <si>
    <t>LT-074979-18/QU</t>
  </si>
  <si>
    <t>LT-011045-19/QU</t>
  </si>
  <si>
    <t>LT-077876-18/QU</t>
  </si>
  <si>
    <t>LT-075543-18/QU</t>
  </si>
  <si>
    <t>LT-064009-17/QU</t>
  </si>
  <si>
    <t>LT-053280-19/QU</t>
  </si>
  <si>
    <t>LT-053879-19/QU</t>
  </si>
  <si>
    <t>LT-055434-19/QU</t>
  </si>
  <si>
    <t>LT-059988-19/QU</t>
  </si>
  <si>
    <t>LT-013318-18/QU</t>
  </si>
  <si>
    <t>LT-012263-18/QU</t>
  </si>
  <si>
    <t>LT-064628-18/QU</t>
  </si>
  <si>
    <t>LT-077467-18/QU</t>
  </si>
  <si>
    <t>LT-068256-18/QU</t>
  </si>
  <si>
    <t>LT-050008-18/QU</t>
  </si>
  <si>
    <t>LT-075041-18/QU</t>
  </si>
  <si>
    <t>LT-012389-18/QU</t>
  </si>
  <si>
    <t>LT-12491-18/QU</t>
  </si>
  <si>
    <t>LT-065442-18/QU</t>
  </si>
  <si>
    <t>LT-733886-18/QU</t>
  </si>
  <si>
    <t>LT-066214-18/QU</t>
  </si>
  <si>
    <t>LT-074864-18/QU</t>
  </si>
  <si>
    <t>LT-068494-18/QU</t>
  </si>
  <si>
    <t>LT-074636-18/QU</t>
  </si>
  <si>
    <t>LT-014322-18/QU</t>
  </si>
  <si>
    <t>LT-077617-18/QU</t>
  </si>
  <si>
    <t>LT-065532-18/QU</t>
  </si>
  <si>
    <t>LT-066922-18/QU</t>
  </si>
  <si>
    <t>LT-061507-18/QU</t>
  </si>
  <si>
    <t>LT-056918-18/QU</t>
  </si>
  <si>
    <t>LT-063335-18/QU</t>
  </si>
  <si>
    <t>LT-068702-18/QU</t>
  </si>
  <si>
    <t>LT-072310-18/QU</t>
  </si>
  <si>
    <t>LT-076196-18/QU</t>
  </si>
  <si>
    <t>LT-074847-18/QU</t>
  </si>
  <si>
    <t>LT-069768-18/QU</t>
  </si>
  <si>
    <t>LT-069504-18/QU</t>
  </si>
  <si>
    <t>LT-074750-18/QU</t>
  </si>
  <si>
    <t>LT-054993-19/QU</t>
  </si>
  <si>
    <t>LT-068879-18/QU</t>
  </si>
  <si>
    <t>LT-076284-18/QU</t>
  </si>
  <si>
    <t>LT-57069-19/QU</t>
  </si>
  <si>
    <t>LT-060791-19/QU</t>
  </si>
  <si>
    <t>LT-078824-18/QU</t>
  </si>
  <si>
    <t>LT-057944-19/QU</t>
  </si>
  <si>
    <t>LT-071653-18/QU</t>
  </si>
  <si>
    <t>LT-060112-19/QU</t>
  </si>
  <si>
    <t>LT-057497-19/QU</t>
  </si>
  <si>
    <t>LT-060086-19/QU</t>
  </si>
  <si>
    <t>LT-067199-18/QU</t>
  </si>
  <si>
    <t>LT-054889-19/QU</t>
  </si>
  <si>
    <t>LT-060129-19/QU</t>
  </si>
  <si>
    <t>LT-057848-19/QU</t>
  </si>
  <si>
    <t>LT-060144-19/QU</t>
  </si>
  <si>
    <t>LT-061771-18/QU</t>
  </si>
  <si>
    <t>LT-053109-19/QU</t>
  </si>
  <si>
    <t>LT-055441-19/QU</t>
  </si>
  <si>
    <t>LT-10859-19/QU</t>
  </si>
  <si>
    <t>LT-055415-19/QU</t>
  </si>
  <si>
    <t>LT-055413-19/QU</t>
  </si>
  <si>
    <t>LT-058632-19/QU</t>
  </si>
  <si>
    <t>LT-056264-19/QU</t>
  </si>
  <si>
    <t>LT-054590-19/QU</t>
  </si>
  <si>
    <t>LT-053033-19/QU</t>
  </si>
  <si>
    <t>LT-079909-17/QU</t>
  </si>
  <si>
    <t>LT-067980-18/QU</t>
  </si>
  <si>
    <t>LT-073376-18/QU</t>
  </si>
  <si>
    <t>LT-068168-18/QU</t>
  </si>
  <si>
    <t>LT-071543-18/QU</t>
  </si>
  <si>
    <t>LT-071109-18/QU</t>
  </si>
  <si>
    <t>LT-061843-18/QU</t>
  </si>
  <si>
    <t>LT-064101-18/QU</t>
  </si>
  <si>
    <t>LT-071087-18/QU</t>
  </si>
  <si>
    <t>LT-054270-19/QU</t>
  </si>
  <si>
    <t>LT-076334-18/QU</t>
  </si>
  <si>
    <t>LT-073189-18/QU</t>
  </si>
  <si>
    <t>LT-065089-18/QU</t>
  </si>
  <si>
    <t>LT-073193-18/QU</t>
  </si>
  <si>
    <t>LT-068216-18/QU</t>
  </si>
  <si>
    <t>LT-059928-18/QU</t>
  </si>
  <si>
    <t>LT-068094-18/QU</t>
  </si>
  <si>
    <t>LT-056475-18/QU</t>
  </si>
  <si>
    <t>LT-012488-18/QU</t>
  </si>
  <si>
    <t>LT-076319-18/QU</t>
  </si>
  <si>
    <t>LT-056981-18/QU</t>
  </si>
  <si>
    <t>LT-064807-18/QU</t>
  </si>
  <si>
    <t>LT-055302-19/QU</t>
  </si>
  <si>
    <t>LT-069822-18/QU</t>
  </si>
  <si>
    <t>LT-064452-18/QU</t>
  </si>
  <si>
    <t>LT-059923-16/QU</t>
  </si>
  <si>
    <t>LT-067917-18/QU</t>
  </si>
  <si>
    <t>LT-064566-18/QU</t>
  </si>
  <si>
    <t>LT-065146-18/QU</t>
  </si>
  <si>
    <t>LT-054162-18/QU</t>
  </si>
  <si>
    <t>LT-065610-18/QU</t>
  </si>
  <si>
    <t>LT-050047-17/QU</t>
  </si>
  <si>
    <t>LT-069721-18/QU</t>
  </si>
  <si>
    <t>LT-063848-18/QU</t>
  </si>
  <si>
    <t>LT-067981-18/QU</t>
  </si>
  <si>
    <t>LT-057099-19/QU</t>
  </si>
  <si>
    <t>LT-067867-18/QU</t>
  </si>
  <si>
    <t>LT-077668-18/QU</t>
  </si>
  <si>
    <t>LT-054007-19/QU</t>
  </si>
  <si>
    <t>LT-066897-18/QU</t>
  </si>
  <si>
    <t>LT-063566-18/QU</t>
  </si>
  <si>
    <t>LT-001071-18/QU</t>
  </si>
  <si>
    <t>LT-062672-18/QU</t>
  </si>
  <si>
    <t>LT-077427-18/QU</t>
  </si>
  <si>
    <t>LT-050270-18/QU</t>
  </si>
  <si>
    <t>LT-066427-18/QU</t>
  </si>
  <si>
    <t>LT-066967-18/QU</t>
  </si>
  <si>
    <t>LT-069442-18/QU</t>
  </si>
  <si>
    <t>LT-077774-18/QU</t>
  </si>
  <si>
    <t>LT-074727-17/QU</t>
  </si>
  <si>
    <t>LT-053659-19/QU</t>
  </si>
  <si>
    <t>LT-064264-17/QU</t>
  </si>
  <si>
    <t>LT-058220-18/QU</t>
  </si>
  <si>
    <t>LT-073457-18/QU</t>
  </si>
  <si>
    <t>LT-070592-18/QU</t>
  </si>
  <si>
    <t>LT-072225-18/QU</t>
  </si>
  <si>
    <t>LT-065038-18/QU</t>
  </si>
  <si>
    <t>LT-061405-18/QU</t>
  </si>
  <si>
    <t>LT-060326-19/QU</t>
  </si>
  <si>
    <t>LT-058635-18/QU</t>
  </si>
  <si>
    <t>LT-054985-19/QU</t>
  </si>
  <si>
    <t>LT-051539-19/QU</t>
  </si>
  <si>
    <t>LT-053867-19/QU</t>
  </si>
  <si>
    <t>LT-065081-18/QU</t>
  </si>
  <si>
    <t>LT-050720-19/QU</t>
  </si>
  <si>
    <t>LT-060827-19/QU</t>
  </si>
  <si>
    <t>LT-056047-18/QU</t>
  </si>
  <si>
    <t>LT-077696-18/QU</t>
  </si>
  <si>
    <t>LT-077118-17/QU</t>
  </si>
  <si>
    <t>LT-067164-18/QU</t>
  </si>
  <si>
    <t>LT-070654-18/QU</t>
  </si>
  <si>
    <t>LT-059338-18/QU</t>
  </si>
  <si>
    <t>LT-013408-18/QU</t>
  </si>
  <si>
    <t>LT-056932-19/QU</t>
  </si>
  <si>
    <t>LT-060342-18/QU</t>
  </si>
  <si>
    <t>LT-066604-18/QU</t>
  </si>
  <si>
    <t>LT-012818-18/QU</t>
  </si>
  <si>
    <t>LT-050041-19/QU</t>
  </si>
  <si>
    <t>LT-076982-18/QU</t>
  </si>
  <si>
    <t>LT-073293-18/QU</t>
  </si>
  <si>
    <t>LT-071211-18/QU</t>
  </si>
  <si>
    <t>LT-050757-19/QU</t>
  </si>
  <si>
    <t>LT-075754-18/QU</t>
  </si>
  <si>
    <t>LT-054333-19/QU</t>
  </si>
  <si>
    <t>LT-053991-19/QU</t>
  </si>
  <si>
    <t>LT-060156-19/QU</t>
  </si>
  <si>
    <t>LT-065207-18/QU</t>
  </si>
  <si>
    <t>LT-079352-17/QU</t>
  </si>
  <si>
    <t>LT-0058453-19/Qu</t>
  </si>
  <si>
    <t>LT-065267-18/QU</t>
  </si>
  <si>
    <t>LT-068768-18/QU</t>
  </si>
  <si>
    <t>LT-068772-18/QU</t>
  </si>
  <si>
    <t>LT-077475-18/QU</t>
  </si>
  <si>
    <t>LT-064730-18/QU</t>
  </si>
  <si>
    <t>LT-074565-18/QU</t>
  </si>
  <si>
    <t>LT-060948-18/QU</t>
  </si>
  <si>
    <t>LT-</t>
  </si>
  <si>
    <t>LT-60371-19/QU</t>
  </si>
  <si>
    <t>LT-070283-18/QU</t>
  </si>
  <si>
    <t>LT-070866-18/QU</t>
  </si>
  <si>
    <t>LT-056462-19/QU</t>
  </si>
  <si>
    <t>LT-014225-18/QU</t>
  </si>
  <si>
    <t>LT-074539-18/QU</t>
  </si>
  <si>
    <t>LT-068409-18/QU</t>
  </si>
  <si>
    <t>LT-075356-18/QU</t>
  </si>
  <si>
    <t>LT-069622</t>
  </si>
  <si>
    <t>LT-050023-19/QU</t>
  </si>
  <si>
    <t>LT-005725-18/QU</t>
  </si>
  <si>
    <t>LT-067129-18/QU</t>
  </si>
  <si>
    <t>LT-077461-18/QU</t>
  </si>
  <si>
    <t>LT-011742-19/QU</t>
  </si>
  <si>
    <t>LT-063296-18/QU</t>
  </si>
  <si>
    <t>LT-053849-19/QU</t>
  </si>
  <si>
    <t>LT-072326-18/QU</t>
  </si>
  <si>
    <t>LT-054717-19/QU</t>
  </si>
  <si>
    <t>LT-063376-18/QU</t>
  </si>
  <si>
    <t>LT-061360-18/QU</t>
  </si>
  <si>
    <t>LT-014417-18/QU</t>
  </si>
  <si>
    <t>LT-078350-18/QU</t>
  </si>
  <si>
    <t>LT-076175-18/QU</t>
  </si>
  <si>
    <t>LT-067575-18/QU</t>
  </si>
  <si>
    <t>LT-071524-18/QU</t>
  </si>
  <si>
    <t>LT-050631-19/QU</t>
  </si>
  <si>
    <t>LT-061474-18/QU</t>
  </si>
  <si>
    <t>LT-012634-18/QU</t>
  </si>
  <si>
    <t>LT-001441-18/QU</t>
  </si>
  <si>
    <t>LT-01109-18/QU</t>
  </si>
  <si>
    <t>LT-006610-18/QU</t>
  </si>
  <si>
    <t>LT-001176-18/QU</t>
  </si>
  <si>
    <t>LT-067998-18/QU</t>
  </si>
  <si>
    <t>LT-054599-18/QU</t>
  </si>
  <si>
    <t>LT-000960-18/QU</t>
  </si>
  <si>
    <t>LT-057645-18/QU</t>
  </si>
  <si>
    <t>LT-067256-18/QU</t>
  </si>
  <si>
    <t>LT-068574-18/QU</t>
  </si>
  <si>
    <t>LT-001468-18/QU</t>
  </si>
  <si>
    <t>LT-001630-18/QU</t>
  </si>
  <si>
    <t>LT-1400-18/QU</t>
  </si>
  <si>
    <t>LT-001342-18/QU</t>
  </si>
  <si>
    <t>LT-073257-17/QU</t>
  </si>
  <si>
    <t>LT-007127-18/QU</t>
  </si>
  <si>
    <t>LT-067683-18/QU</t>
  </si>
  <si>
    <t>LT-054156-18/QU</t>
  </si>
  <si>
    <t>LT-079800-17/QU</t>
  </si>
  <si>
    <t>LT-001182-18/QU</t>
  </si>
  <si>
    <t>LT-066600-18/QU</t>
  </si>
  <si>
    <t>LT-079864-17/QU</t>
  </si>
  <si>
    <t>LT-058027-18/QU</t>
  </si>
  <si>
    <t>LT-001438-18/QU</t>
  </si>
  <si>
    <t>LT-050273-18/QU</t>
  </si>
  <si>
    <t>LT-069354-18/QU</t>
  </si>
  <si>
    <t>LT-00237-19/QU</t>
  </si>
  <si>
    <t>LT-057357-18/QU</t>
  </si>
  <si>
    <t>LT-053331-19/QU</t>
  </si>
  <si>
    <t>LT-060607-19/QU</t>
  </si>
  <si>
    <t>HP-271-19/QU</t>
  </si>
  <si>
    <t>LT-057678-19/QU</t>
  </si>
  <si>
    <t>LT-716679-17/QU</t>
  </si>
  <si>
    <t>LT-064622-18/QU</t>
  </si>
  <si>
    <t>LT-014297-18/QU</t>
  </si>
  <si>
    <t>LT-072705-18/QU</t>
  </si>
  <si>
    <t>LT-052432-19/QU</t>
  </si>
  <si>
    <t>LT-064880-18/QU</t>
  </si>
  <si>
    <t>LT-001052-18/QU</t>
  </si>
  <si>
    <t>LT-010548-18/QU</t>
  </si>
  <si>
    <t>LT-059498-18/QU</t>
  </si>
  <si>
    <t>LT-006044-19/QU</t>
  </si>
  <si>
    <t>LT-000176-19/QU</t>
  </si>
  <si>
    <t>LT-050711-18/QU</t>
  </si>
  <si>
    <t>LT-000130-19/QU</t>
  </si>
  <si>
    <t>LT-011572-18/QU</t>
  </si>
  <si>
    <t>LT-076661-18/QU</t>
  </si>
  <si>
    <t>LT-064034-18/QU</t>
  </si>
  <si>
    <t>LT-077473-18/QU</t>
  </si>
  <si>
    <t>LT-1860499-19/Qu</t>
  </si>
  <si>
    <t>LT-011948-18/QU</t>
  </si>
  <si>
    <t>LT-069201-18/QU</t>
  </si>
  <si>
    <t>LT-000221-19/QU</t>
  </si>
  <si>
    <t>LT-069039-18/QU</t>
  </si>
  <si>
    <t>LT-00317-19/QU</t>
  </si>
  <si>
    <t>LT-065340-18/QU</t>
  </si>
  <si>
    <t>HP-1060-18/QU</t>
  </si>
  <si>
    <t>LT-065184-18/QU</t>
  </si>
  <si>
    <t>LT-062500-18/QU</t>
  </si>
  <si>
    <t>LT-001093-18/QU</t>
  </si>
  <si>
    <t>LT-068468-18/QU</t>
  </si>
  <si>
    <t>LT-065095-18/QU</t>
  </si>
  <si>
    <t>LT-060765-19/QU</t>
  </si>
  <si>
    <t>LT-052686-18/QU</t>
  </si>
  <si>
    <t>LT-068053-18/QU</t>
  </si>
  <si>
    <t>LT-655238-18/QU</t>
  </si>
  <si>
    <t>LT-063332-18/QU</t>
  </si>
  <si>
    <t>LT-000298-19/QU</t>
  </si>
  <si>
    <t>LT-052927-18/QU</t>
  </si>
  <si>
    <t>LT-050487-19/QU</t>
  </si>
  <si>
    <t>LT-058286-18/QU</t>
  </si>
  <si>
    <t>LT-059007-19/QU</t>
  </si>
  <si>
    <t>LT-072342-18/QU</t>
  </si>
  <si>
    <t>LT-057693-18/QU</t>
  </si>
  <si>
    <t>LT-000205-19/QU</t>
  </si>
  <si>
    <t>LT-001455-18/QU</t>
  </si>
  <si>
    <t>LT-067691-18/QU</t>
  </si>
  <si>
    <t>HP-001709-18/QU</t>
  </si>
  <si>
    <t>LT-057424-19/QU</t>
  </si>
  <si>
    <t>LT-6029-19/QU</t>
  </si>
  <si>
    <t>LT-714905-18/QU</t>
  </si>
  <si>
    <t>LT-056605-19/QU</t>
  </si>
  <si>
    <t>LT-053146-19/QU</t>
  </si>
  <si>
    <t>LT-0166-19/QU</t>
  </si>
  <si>
    <t>LT-6054-19/QU</t>
  </si>
  <si>
    <t>LT-073018-QU</t>
  </si>
  <si>
    <t>LT-58178-19/QU</t>
  </si>
  <si>
    <t>LT-070582-18/QU</t>
  </si>
  <si>
    <t>LT-051086-19/QU</t>
  </si>
  <si>
    <t>LT-001333-18/QU</t>
  </si>
  <si>
    <t>LT-072491-18/QU</t>
  </si>
  <si>
    <t>LT-001330-18/QU</t>
  </si>
  <si>
    <t>LT-000373-19/QU</t>
  </si>
  <si>
    <t>LT-000306-19/QU</t>
  </si>
  <si>
    <t>LT-000347-19/QU</t>
  </si>
  <si>
    <t>HP-06081-19/QU</t>
  </si>
  <si>
    <t>LT-000158-19/QU</t>
  </si>
  <si>
    <t>LT-346-17/QU</t>
  </si>
  <si>
    <t>LT-1290-18/QU</t>
  </si>
  <si>
    <t>LT-053908-19/AU</t>
  </si>
  <si>
    <t>LT-060122-18/QU</t>
  </si>
  <si>
    <t>LT-059636-18/QU</t>
  </si>
  <si>
    <t>LT-066119-18/QU</t>
  </si>
  <si>
    <t>LT-077753-17/QU</t>
  </si>
  <si>
    <t>LT-057876-19/QU</t>
  </si>
  <si>
    <t>LT-060376-19/QU</t>
  </si>
  <si>
    <t>LT-064476-18/QU</t>
  </si>
  <si>
    <t>LT-070890-18/QU</t>
  </si>
  <si>
    <t>LT-057217-18/QU</t>
  </si>
  <si>
    <t>LT-072819-18/QU</t>
  </si>
  <si>
    <t>LT-062390-18/QU</t>
  </si>
  <si>
    <t>LT-061743-18/QU</t>
  </si>
  <si>
    <t>LT-001399-18/QU</t>
  </si>
  <si>
    <t>LT-001184-18/QU</t>
  </si>
  <si>
    <t>LT-057921-19/QU</t>
  </si>
  <si>
    <t>LT-065094-18/QU</t>
  </si>
  <si>
    <t>LT-060758-19/QU</t>
  </si>
  <si>
    <t>LT-6184-18/QU</t>
  </si>
  <si>
    <t>HP-006013-19/QU</t>
  </si>
  <si>
    <t>LT-059641-19/QU</t>
  </si>
  <si>
    <t>LT-052018-18/QU</t>
  </si>
  <si>
    <t>LT-065317-18/QU</t>
  </si>
  <si>
    <t>LT-013952-18/QU</t>
  </si>
  <si>
    <t>LT-061040-18/QU</t>
  </si>
  <si>
    <t>LT-066509-18/QU</t>
  </si>
  <si>
    <t>LT-069038-18/QU</t>
  </si>
  <si>
    <t>LT-075052-18/QU</t>
  </si>
  <si>
    <t>LT-071330-18/QU</t>
  </si>
  <si>
    <t>LT-060640-18/QU</t>
  </si>
  <si>
    <t>LT-070644-18/QU</t>
  </si>
  <si>
    <t>LT-063908-18/QU</t>
  </si>
  <si>
    <t>LT-013140-18/QU</t>
  </si>
  <si>
    <t>LT-068077-18/QU</t>
  </si>
  <si>
    <t>LT-069253-18/QU</t>
  </si>
  <si>
    <t>LT-065665-18/QU</t>
  </si>
  <si>
    <t>LT-070293-18/QU</t>
  </si>
  <si>
    <t>LT-059228-18/QU</t>
  </si>
  <si>
    <t>LT-059816-18/QU</t>
  </si>
  <si>
    <t>LT-063693-18/QU</t>
  </si>
  <si>
    <t>LT-744414-18/QU</t>
  </si>
  <si>
    <t>LT-070735-18/QU</t>
  </si>
  <si>
    <t>LT-066161-18/QU</t>
  </si>
  <si>
    <t>LT-074923-18/QU</t>
  </si>
  <si>
    <t>LT-014073-18/QU</t>
  </si>
  <si>
    <t>LT-014187-18/QU</t>
  </si>
  <si>
    <t>LT-064669-18/QU</t>
  </si>
  <si>
    <t>LT-062615-18/QU</t>
  </si>
  <si>
    <t>LT-066310-18/QU</t>
  </si>
  <si>
    <t>LT-073719-18/QU</t>
  </si>
  <si>
    <t>LT-060150-18/QU</t>
  </si>
  <si>
    <t>LT-065881-18/QU</t>
  </si>
  <si>
    <t>LT-074577-17/QU</t>
  </si>
  <si>
    <t>LT-78025-18/QU</t>
  </si>
  <si>
    <t>LT-076552-18/QU</t>
  </si>
  <si>
    <t>LT-065080-18/QU</t>
  </si>
  <si>
    <t>LT-068718-18/QU</t>
  </si>
  <si>
    <t>LT-075138-18/QU</t>
  </si>
  <si>
    <t>LT-060603-18/QU</t>
  </si>
  <si>
    <t>LT-073722-18/QU</t>
  </si>
  <si>
    <t>LT-074216-18/QU</t>
  </si>
  <si>
    <t>LT-074917-18/QU</t>
  </si>
  <si>
    <t>LT-070943-18/QU</t>
  </si>
  <si>
    <t>LT-069899-18/QU</t>
  </si>
  <si>
    <t>LT-076503-18/QU</t>
  </si>
  <si>
    <t>LT-051181-19/QU</t>
  </si>
  <si>
    <t>LT-057499-19/QU</t>
  </si>
  <si>
    <t>LT-055177-19/QU</t>
  </si>
  <si>
    <t>LT-063850-18/QU</t>
  </si>
  <si>
    <t>LT-050710-19/QU</t>
  </si>
  <si>
    <t>LT-073198-18/QU</t>
  </si>
  <si>
    <t>LT-076344-18/QU</t>
  </si>
  <si>
    <t>LT-066132-18/QU</t>
  </si>
  <si>
    <t>GW1101290R</t>
  </si>
  <si>
    <t>LT-068620-18/QU</t>
  </si>
  <si>
    <t>LT-058569-18/QU</t>
  </si>
  <si>
    <t>LT-074876-18/QU</t>
  </si>
  <si>
    <t>LT-076558-18/QU</t>
  </si>
  <si>
    <t>LT-064692-18/QU</t>
  </si>
  <si>
    <t>LT-066533-18/QU</t>
  </si>
  <si>
    <t>LT-051582-19/QU</t>
  </si>
  <si>
    <t>LT-077406-19/QU</t>
  </si>
  <si>
    <t>LT-069055-18/QU</t>
  </si>
  <si>
    <t>LT-059795-19/QU</t>
  </si>
  <si>
    <t>LT-066368-18/QU</t>
  </si>
  <si>
    <t>LT-073717-18/QU</t>
  </si>
  <si>
    <t>LT-055073-19/QU</t>
  </si>
  <si>
    <t>LT-068788-18/QU</t>
  </si>
  <si>
    <t>LT-076176-18/QU</t>
  </si>
  <si>
    <t>LT-052681-19/QU</t>
  </si>
  <si>
    <t>LT-072920-18/QU</t>
  </si>
  <si>
    <t>LT-060149-19/QU</t>
  </si>
  <si>
    <t>LT-010027-18/QU</t>
  </si>
  <si>
    <t>LT-074303-18/QU</t>
  </si>
  <si>
    <t>LT-066499-18/QU</t>
  </si>
  <si>
    <t>LT-071464-18/QU</t>
  </si>
  <si>
    <t>LT-075040-18/QU</t>
  </si>
  <si>
    <t>LT-078424-18/QU</t>
  </si>
  <si>
    <t>LT-064764-18/QU</t>
  </si>
  <si>
    <t>LT-051516-18/QU</t>
  </si>
  <si>
    <t>LT-077440-17/QU</t>
  </si>
  <si>
    <t>LT-059877-18/QU</t>
  </si>
  <si>
    <t>LT-639991-18/QU</t>
  </si>
  <si>
    <t>LT-072317-18/QU</t>
  </si>
  <si>
    <t>LT-073130-18/QU</t>
  </si>
  <si>
    <t>LT-077047-18/QU</t>
  </si>
  <si>
    <t>LT-071157-18/QU</t>
  </si>
  <si>
    <t>LT-068360-18/QU</t>
  </si>
  <si>
    <t>LT-054464-19/QU</t>
  </si>
  <si>
    <t>LT-056472-19/QU</t>
  </si>
  <si>
    <t>LT-073078-18/QU</t>
  </si>
  <si>
    <t>LT-068812-18/QU</t>
  </si>
  <si>
    <t>LT-073101-18/QU</t>
  </si>
  <si>
    <t>LT-065801-18/QU</t>
  </si>
  <si>
    <t>LT-059281-18/QU</t>
  </si>
  <si>
    <t>LT-052919-19/QU</t>
  </si>
  <si>
    <t>LT-070880-18/QU</t>
  </si>
  <si>
    <t>LT-069569-18/QU</t>
  </si>
  <si>
    <t>LT-078013-18/QU</t>
  </si>
  <si>
    <t>LT-053321-19/QU</t>
  </si>
  <si>
    <t>LT-058760-18/QU</t>
  </si>
  <si>
    <t>LT-068580-18/QU</t>
  </si>
  <si>
    <t>LT-054427-18/QU</t>
  </si>
  <si>
    <t>LT-066807-18/QU</t>
  </si>
  <si>
    <t>LT-055253-19/QU</t>
  </si>
  <si>
    <t>LT-014416-19/QU</t>
  </si>
  <si>
    <t>LT-050962-19/QU</t>
  </si>
  <si>
    <t>LT-052834-19/QU</t>
  </si>
  <si>
    <t>LT-058576-19/QU</t>
  </si>
  <si>
    <t>LT-075680-18/QU</t>
  </si>
  <si>
    <t>LT-072507-18/QU</t>
  </si>
  <si>
    <t>LT-056680-19/QU</t>
  </si>
  <si>
    <t>LT-068428-18/QU</t>
  </si>
  <si>
    <t>LT-051321-19/QU</t>
  </si>
  <si>
    <t>LT-070559-18/QU</t>
  </si>
  <si>
    <t>LT010921-19/QU</t>
  </si>
  <si>
    <t>LT-051335-19/QU</t>
  </si>
  <si>
    <t>LT-059297-18/QU</t>
  </si>
  <si>
    <t>LT-078224</t>
  </si>
  <si>
    <t>LT-065271-18/QU</t>
  </si>
  <si>
    <t>LT-070857-18/QU</t>
  </si>
  <si>
    <t>LT-054716-19/QU</t>
  </si>
  <si>
    <t>LT-055305-18/QU</t>
  </si>
  <si>
    <t>LT-075167-18/QU</t>
  </si>
  <si>
    <t>LT-050026-19/QU</t>
  </si>
  <si>
    <t>LT-066089-18/QU</t>
  </si>
  <si>
    <t>LT-059347-19/QU</t>
  </si>
  <si>
    <t>LT-064625-18/QU</t>
  </si>
  <si>
    <t>LT-069717-17/QU</t>
  </si>
  <si>
    <t>LT-070665-18/QU</t>
  </si>
  <si>
    <t>LT-078211-18/QU</t>
  </si>
  <si>
    <t>LT-054573-19/QU</t>
  </si>
  <si>
    <t>LT-050319-19/QU</t>
  </si>
  <si>
    <t>LT-011051-19 QU</t>
  </si>
  <si>
    <t>LT-055409-19/QU</t>
  </si>
  <si>
    <t>LT-053423-19/QU</t>
  </si>
  <si>
    <t>LT-050718-19/QU</t>
  </si>
  <si>
    <t>LT-079156-17/QU</t>
  </si>
  <si>
    <t>LT-060346-19/QU</t>
  </si>
  <si>
    <t>LT-078050-18/QU</t>
  </si>
  <si>
    <t>LT-068789-18/QU</t>
  </si>
  <si>
    <t>LT-075058-18/QU</t>
  </si>
  <si>
    <t>LT-054479-19/QU</t>
  </si>
  <si>
    <t>LT-065888-18/QU</t>
  </si>
  <si>
    <t>LT-053303-19/QU</t>
  </si>
  <si>
    <t>LT-066521-18/QU</t>
  </si>
  <si>
    <t>LT-56742-19</t>
  </si>
  <si>
    <t>LT-011037-19/QU</t>
  </si>
  <si>
    <t>LT-066418-18/QU</t>
  </si>
  <si>
    <t>LT-013296-18/QU</t>
  </si>
  <si>
    <t>LT-077166-18/QU</t>
  </si>
  <si>
    <t>LT-066380-18/QU</t>
  </si>
  <si>
    <t>LT-051427</t>
  </si>
  <si>
    <t>LT-66608-18/QU</t>
  </si>
  <si>
    <t>LT-072300-18/QU</t>
  </si>
  <si>
    <t>LT-056105-19 QU</t>
  </si>
  <si>
    <t>LT-053516-18/QU</t>
  </si>
  <si>
    <t>LT-063337-18/QU</t>
  </si>
  <si>
    <t>LT-062106-18/QU</t>
  </si>
  <si>
    <t>LT-057477-19/QU</t>
  </si>
  <si>
    <t>LT-078526-18/QU</t>
  </si>
  <si>
    <t>LT-072471-18/QU</t>
  </si>
  <si>
    <t>LT-061199-19/QU</t>
  </si>
  <si>
    <t>LT-059830-18/QU</t>
  </si>
  <si>
    <t>LT-073109-18/QU</t>
  </si>
  <si>
    <t>LT-053740-19/QU</t>
  </si>
  <si>
    <t>LT-074914-18/QU</t>
  </si>
  <si>
    <t>LT-073278-18/QU</t>
  </si>
  <si>
    <t>LT-057009-19/QU</t>
  </si>
  <si>
    <t>LT-076908-18/QU</t>
  </si>
  <si>
    <t>LT-058531-18/QU</t>
  </si>
  <si>
    <t>LT-073591-18/QU</t>
  </si>
  <si>
    <t>LT-064292-18/QU</t>
  </si>
  <si>
    <t>LT-063649-18/QU</t>
  </si>
  <si>
    <t>LT-052451-19/QU</t>
  </si>
  <si>
    <t>LT-063293-18/QU</t>
  </si>
  <si>
    <t>LT-061017-18/QU</t>
  </si>
  <si>
    <t>LT-075440-18/QU</t>
  </si>
  <si>
    <t>LT-056405-19/QU</t>
  </si>
  <si>
    <t>LT-069646-18/QU</t>
  </si>
  <si>
    <t>LT-000258-18/QU</t>
  </si>
  <si>
    <t>LT-078556-19 QU</t>
  </si>
  <si>
    <t>LT-054881-18/QU</t>
  </si>
  <si>
    <t>LT-076775-18/QU</t>
  </si>
  <si>
    <t>LT-071470-18/QU</t>
  </si>
  <si>
    <t>LT-066909-18/QU</t>
  </si>
  <si>
    <t>LT-058982-18/QU</t>
  </si>
  <si>
    <t>LT-077186-18/QU</t>
  </si>
  <si>
    <t>LT-066410-18/QU</t>
  </si>
  <si>
    <t>LT-069809-18/QU</t>
  </si>
  <si>
    <t>LT-056169-19/QU</t>
  </si>
  <si>
    <t>LT-069874-18/QU</t>
  </si>
  <si>
    <t>LT-070013-18/QU</t>
  </si>
  <si>
    <t>LT-070538-18/QU</t>
  </si>
  <si>
    <t>LT-051343-19/QU</t>
  </si>
  <si>
    <t>LT-080986-14/QU</t>
  </si>
  <si>
    <t>LT-067589-18/QU</t>
  </si>
  <si>
    <t>LT-060430-18/QU</t>
  </si>
  <si>
    <t>LT-078360-18/QU</t>
  </si>
  <si>
    <t>LT-066538-18/QU</t>
  </si>
  <si>
    <t>LT-070213-18/QU</t>
  </si>
  <si>
    <t>GX 110104 OM</t>
  </si>
  <si>
    <t>LT-61130-19 QU</t>
  </si>
  <si>
    <t>LT-065118-18/QU</t>
  </si>
  <si>
    <t>LT-068258-18//QU</t>
  </si>
  <si>
    <t>LT-012846-18/QU</t>
  </si>
  <si>
    <t>LT-069740-18/QU</t>
  </si>
  <si>
    <t>LT-78222-18/QU</t>
  </si>
  <si>
    <t>LT-078222-18/QU</t>
  </si>
  <si>
    <t>LT-056157-18/QU</t>
  </si>
  <si>
    <t>LT-067609-18/QU</t>
  </si>
  <si>
    <t>LT-077369-18/QU</t>
  </si>
  <si>
    <t>LT-058197-19/QU</t>
  </si>
  <si>
    <t>LT-052254-19/QU</t>
  </si>
  <si>
    <t>LT-061134-19 QU</t>
  </si>
  <si>
    <t>LT-052056-19/QU</t>
  </si>
  <si>
    <t>LT-050134-19/QU</t>
  </si>
  <si>
    <t>GX 110120 OM</t>
  </si>
  <si>
    <t>LT-068673-18/QU</t>
  </si>
  <si>
    <t>LT-060524-19/QU</t>
  </si>
  <si>
    <t>LT-067412-18/QU</t>
  </si>
  <si>
    <t>LT-067202-18/QU</t>
  </si>
  <si>
    <t>LT-068870-18/QU</t>
  </si>
  <si>
    <t>LT-055146-19/QU</t>
  </si>
  <si>
    <t>LT-007416-18/QU</t>
  </si>
  <si>
    <t>LT-061344-18/QU</t>
  </si>
  <si>
    <t>LT-071503-18/QU</t>
  </si>
  <si>
    <t>LT 77472-18 QU</t>
  </si>
  <si>
    <t>LT-067844-18/QU</t>
  </si>
  <si>
    <t>LT-064650-18/QU</t>
  </si>
  <si>
    <t>LT-064560-18/QU</t>
  </si>
  <si>
    <t>LT-073664-18/QU</t>
  </si>
  <si>
    <t>LT-050086-19/QU</t>
  </si>
  <si>
    <t>GX 110098 OM</t>
  </si>
  <si>
    <t>LT-077200-18/QU</t>
  </si>
  <si>
    <t>LT-076923-18/QU</t>
  </si>
  <si>
    <t>LT-070669-18/QU</t>
  </si>
  <si>
    <t>LT-056673-18/QU</t>
  </si>
  <si>
    <t>LT-064647-18/QU</t>
  </si>
  <si>
    <t>LT-052811-19/QU</t>
  </si>
  <si>
    <t>LT-077762-18/QU</t>
  </si>
  <si>
    <t>LT-051235-19/QU</t>
  </si>
  <si>
    <t>LT-052419-19/QU</t>
  </si>
  <si>
    <t>LT-54375-19/QU</t>
  </si>
  <si>
    <t>LT-057362-18/QU</t>
  </si>
  <si>
    <t>LT-066266-18/QU</t>
  </si>
  <si>
    <t>LT-078660-18/QU</t>
  </si>
  <si>
    <t>LT-058989-18/QU</t>
  </si>
  <si>
    <t>LT-063754-18/QU</t>
  </si>
  <si>
    <t>LT-069063-18/QU</t>
  </si>
  <si>
    <t>LT-064984-18/QU</t>
  </si>
  <si>
    <t>LT-064959-18/QU</t>
  </si>
  <si>
    <t>LT-064508-18/QU</t>
  </si>
  <si>
    <t>LT-066775-18/QU</t>
  </si>
  <si>
    <t>LT-068123-17/QU</t>
  </si>
  <si>
    <t>LT-076351-17/QU</t>
  </si>
  <si>
    <t>LT-078453-18/QU</t>
  </si>
  <si>
    <t>LT-063919-18/QU</t>
  </si>
  <si>
    <t>LT-058444-19/QU</t>
  </si>
  <si>
    <t>LT-068749-18/QU</t>
  </si>
  <si>
    <t>LT-068296-18/QU</t>
  </si>
  <si>
    <t>LT-075484-18/QU</t>
  </si>
  <si>
    <t>LT-069923-18/QU</t>
  </si>
  <si>
    <t>LT-068747-18/QU</t>
  </si>
  <si>
    <t>LT-65097-18/QU</t>
  </si>
  <si>
    <t>LT-054028-19/QU</t>
  </si>
  <si>
    <t>LT-063509-18/QU</t>
  </si>
  <si>
    <t>LT-057354-18/QU</t>
  </si>
  <si>
    <t>LT-064513-18/QU</t>
  </si>
  <si>
    <t>LT-061510-18/QU</t>
  </si>
  <si>
    <t>LT-068011-18/QU</t>
  </si>
  <si>
    <t>LT-066692-18/QU</t>
  </si>
  <si>
    <t>LT-063360-18/QU</t>
  </si>
  <si>
    <t>LT-070558-18/QU</t>
  </si>
  <si>
    <t>LT-077295-18/QU</t>
  </si>
  <si>
    <t>LT-066022-18/QU</t>
  </si>
  <si>
    <t>LT-005578-18/QU</t>
  </si>
  <si>
    <t>LT-060153</t>
  </si>
  <si>
    <t>LT-071627-18/QU</t>
  </si>
  <si>
    <t>LT-052223-19/QU</t>
  </si>
  <si>
    <t>LT-051634-19/QU</t>
  </si>
  <si>
    <t>LT-069282-18/QU</t>
  </si>
  <si>
    <t>LT-061657-18/QU</t>
  </si>
  <si>
    <t>LT-064368-18/QU</t>
  </si>
  <si>
    <t>LT-063679-18/QU</t>
  </si>
  <si>
    <t>LT-056342-18/QU</t>
  </si>
  <si>
    <t>LT-055648-19/QU</t>
  </si>
  <si>
    <t>LT-071107-18/QU</t>
  </si>
  <si>
    <t>LT-011230-19/QU</t>
  </si>
  <si>
    <t>LT-072071-18/QU</t>
  </si>
  <si>
    <t>LT-059974-19/QU</t>
  </si>
  <si>
    <t>LT-077409-18/QU</t>
  </si>
  <si>
    <t>LT-1595-18/QU</t>
  </si>
  <si>
    <t>LT-069260-18/QU</t>
  </si>
  <si>
    <t>LT-72321-18/QU</t>
  </si>
  <si>
    <t>LT-060330-18/QU</t>
  </si>
  <si>
    <t>LT-068650-18/QU</t>
  </si>
  <si>
    <t>LT-054735-19/QU</t>
  </si>
  <si>
    <t>LT-052714-19/QU</t>
  </si>
  <si>
    <t>LT-072167-18/QU</t>
  </si>
  <si>
    <t>LT-058581-19/QU</t>
  </si>
  <si>
    <t>LT-051917-19/QU</t>
  </si>
  <si>
    <t>LT-071164-18/QU</t>
  </si>
  <si>
    <t>LT-074169-18/QU</t>
  </si>
  <si>
    <t>LT-055355-19/QU</t>
  </si>
  <si>
    <t>LT-056952-19/QU</t>
  </si>
  <si>
    <t>LT-074151-18/QU</t>
  </si>
  <si>
    <t>LT-073648-18/QU</t>
  </si>
  <si>
    <t>LT-051527-19/QU</t>
  </si>
  <si>
    <t>LT-072410-18/QU</t>
  </si>
  <si>
    <t>LT-058418-19/QU</t>
  </si>
  <si>
    <t>LT-011122-19/QU</t>
  </si>
  <si>
    <t>LT-051519-19/QU</t>
  </si>
  <si>
    <t>LT-070959-18/QU</t>
  </si>
  <si>
    <t>LT-056690-19/QU</t>
  </si>
  <si>
    <t>LT-076071-18/QU</t>
  </si>
  <si>
    <t>LT-053896-19/QU</t>
  </si>
  <si>
    <t>LT-051155-19/QU</t>
  </si>
  <si>
    <t>LT-014451-18/QU</t>
  </si>
  <si>
    <t>LT-059370-19/QU</t>
  </si>
  <si>
    <t>LT-010823-19/QU</t>
  </si>
  <si>
    <t>LT-071661-18/QU</t>
  </si>
  <si>
    <t>LT-072233-16/QU</t>
  </si>
  <si>
    <t>LT-012831-18/QU</t>
  </si>
  <si>
    <t>LT-060864-19/QU</t>
  </si>
  <si>
    <t>LT-059618-19/QU</t>
  </si>
  <si>
    <t>LT-055659-19/QU</t>
  </si>
  <si>
    <t>LT-051313-19/QU</t>
  </si>
  <si>
    <t>LT-053082-19/QU</t>
  </si>
  <si>
    <t>LT-051993-19/QU</t>
  </si>
  <si>
    <t>LT-070510-18/QU</t>
  </si>
  <si>
    <t>LT-059094-19/QU</t>
  </si>
  <si>
    <t>LT-056242-19/QU</t>
  </si>
  <si>
    <t>LT-068289-18/QU</t>
  </si>
  <si>
    <t>LT-057728-19/QU</t>
  </si>
  <si>
    <t>LT-052310-19/QU</t>
  </si>
  <si>
    <t>LT-057686-19/QU</t>
  </si>
  <si>
    <t>LT-056834-19/QU</t>
  </si>
  <si>
    <t>LT-013730-18/QU</t>
  </si>
  <si>
    <t>LT-052085-19/QU</t>
  </si>
  <si>
    <t>LT-072224-18/QU</t>
  </si>
  <si>
    <t>LT-014432-18/QU</t>
  </si>
  <si>
    <t>LT-0538770</t>
  </si>
  <si>
    <t>LT-06364-18/QU</t>
  </si>
  <si>
    <t>LT-075665-18/QU</t>
  </si>
  <si>
    <t>LT-051951-19/QU</t>
  </si>
  <si>
    <t>LT-072658-18/QU</t>
  </si>
  <si>
    <t>LT-059619-19/QU</t>
  </si>
  <si>
    <t>LT-057400-19/QU</t>
  </si>
  <si>
    <t>LT-077550-18/QU</t>
  </si>
  <si>
    <t>LT-071816-18/QU</t>
  </si>
  <si>
    <t>LT-055609-19/QU</t>
  </si>
  <si>
    <t>LT-072306-18/QU</t>
  </si>
  <si>
    <t>LT-010163-19/QU</t>
  </si>
  <si>
    <t>LT-053954-19/QU</t>
  </si>
  <si>
    <t>LT-071252-18/QU</t>
  </si>
  <si>
    <t>LT-076825-18/QU</t>
  </si>
  <si>
    <t>LT-068597-18/QU</t>
  </si>
  <si>
    <t>LT-053752-19/QU</t>
  </si>
  <si>
    <t>LT-053661-19/QU</t>
  </si>
  <si>
    <t>LT-074045-18/QU</t>
  </si>
  <si>
    <t>LT-057158-19/QU</t>
  </si>
  <si>
    <t>LT-051361-19/QU</t>
  </si>
  <si>
    <t>LT-072943-18/QU</t>
  </si>
  <si>
    <t>LT-051578-19/QU</t>
  </si>
  <si>
    <t>LT-051277-19/QU</t>
  </si>
  <si>
    <t>LT-013307-18/QU</t>
  </si>
  <si>
    <t>LT-076066-18/QU</t>
  </si>
  <si>
    <t>LT-075927-18/QU</t>
  </si>
  <si>
    <t>LT-052265-19/QU</t>
  </si>
  <si>
    <t>LT-060589-19/QU</t>
  </si>
  <si>
    <t>LT-058626-19/QU</t>
  </si>
  <si>
    <t>LT-076559-18/QU</t>
  </si>
  <si>
    <t>LT-055429-19/QU</t>
  </si>
  <si>
    <t>LT-052645-19/QU</t>
  </si>
  <si>
    <t>LT-054452-19/QU</t>
  </si>
  <si>
    <t>LT-013086-18/QU</t>
  </si>
  <si>
    <t>LT-073489-18/QU</t>
  </si>
  <si>
    <t>LT-074044-18/QU</t>
  </si>
  <si>
    <t>LT-072281-18/QU</t>
  </si>
  <si>
    <t>LT-067728-18/QU</t>
  </si>
  <si>
    <t>LT-068423-18/QU</t>
  </si>
  <si>
    <t>LT-070935-18/QU</t>
  </si>
  <si>
    <t>LT-011801-18/QU</t>
  </si>
  <si>
    <t>LT-055460-19/QU</t>
  </si>
  <si>
    <t>LT-050011-19/QU</t>
  </si>
  <si>
    <t>LT-056058-19/QU</t>
  </si>
  <si>
    <t>LT-054530-19/QU</t>
  </si>
  <si>
    <t>LT-062130-18/QU</t>
  </si>
  <si>
    <t>LT-077046-18/QU</t>
  </si>
  <si>
    <t>LT-051710-19/QU</t>
  </si>
  <si>
    <t>LT-053166-19/QU</t>
  </si>
  <si>
    <t>LT-073856-18/QU</t>
  </si>
  <si>
    <t>LT-054193-19/QU</t>
  </si>
  <si>
    <t>LT-068991-18/QU</t>
  </si>
  <si>
    <t>LT-064603-18/QU</t>
  </si>
  <si>
    <t>LT-055440-19/QU</t>
  </si>
  <si>
    <t>LT-075335-18/QU</t>
  </si>
  <si>
    <t>LT-078428-18/QU</t>
  </si>
  <si>
    <t>LT-075154-18/QU</t>
  </si>
  <si>
    <t>LT-073605-18/QU</t>
  </si>
  <si>
    <t>LT-077366-18/QU</t>
  </si>
  <si>
    <t>LT-057269-19/QU</t>
  </si>
  <si>
    <t>LT-074685-18/QU</t>
  </si>
  <si>
    <t>LT-060126-19/QU</t>
  </si>
  <si>
    <t>LT-072015-18/QU</t>
  </si>
  <si>
    <t>LT-074844-18/QU</t>
  </si>
  <si>
    <t>LT-078831-18/QU</t>
  </si>
  <si>
    <t>Non-payment</t>
  </si>
  <si>
    <t>Holdover</t>
  </si>
  <si>
    <t>HP Action</t>
  </si>
  <si>
    <t>Illegal Lockout</t>
  </si>
  <si>
    <t>Non-Litigation Advocacy</t>
  </si>
  <si>
    <t>Affirmative Litigation Supreme</t>
  </si>
  <si>
    <t>Tenant Rights</t>
  </si>
  <si>
    <t>DHCR Administrative Action</t>
  </si>
  <si>
    <t>Appeal-Appellate Term</t>
  </si>
  <si>
    <t>Other Administrative Proceeding</t>
  </si>
  <si>
    <t>Ejectment Action</t>
  </si>
  <si>
    <t>SCRIE/DRIE</t>
  </si>
  <si>
    <t>DHCR Proceeding</t>
  </si>
  <si>
    <t>Article 78</t>
  </si>
  <si>
    <t>PA Issue: RAU</t>
  </si>
  <si>
    <t>Affirmative Litigation Federal</t>
  </si>
  <si>
    <t>Sec. 8 Termination</t>
  </si>
  <si>
    <t>Appeal-Appellate Division</t>
  </si>
  <si>
    <t>Appeal Supreme</t>
  </si>
  <si>
    <t>NYCHA Housing Termination</t>
  </si>
  <si>
    <t>Representation - State Court</t>
  </si>
  <si>
    <t>Hold For Review</t>
  </si>
  <si>
    <t>Advice</t>
  </si>
  <si>
    <t>Brief Service</t>
  </si>
  <si>
    <t>Representation - Admin. Agency</t>
  </si>
  <si>
    <t>Out-of-Court Advocacy</t>
  </si>
  <si>
    <t>Representation - Federal Court</t>
  </si>
  <si>
    <t>G - Negotiated Settlement with Litigation</t>
  </si>
  <si>
    <t>A - Counsel and Advice</t>
  </si>
  <si>
    <t>IB - Contested Court Decision</t>
  </si>
  <si>
    <t>L - Extensive Service (not resulting in Settlement of Court or Administrative Action)</t>
  </si>
  <si>
    <t>F - Negotiated Settlement w/out Litigation</t>
  </si>
  <si>
    <t>B - Limited Action (Brief Service)</t>
  </si>
  <si>
    <t>IA - Uncontested Court Decision</t>
  </si>
  <si>
    <t>Prefer Not To Answer</t>
  </si>
  <si>
    <t>3020 CLS-Civil Legal Services</t>
  </si>
  <si>
    <t>63 Private Landlord/Tenant</t>
  </si>
  <si>
    <t>64 Public Housing</t>
  </si>
  <si>
    <t>61 Federally Subsidized Housing</t>
  </si>
  <si>
    <t>69 Other Housing</t>
  </si>
  <si>
    <t>Post-Judgment, Tenant in Possession-Judgment Due to Default</t>
  </si>
  <si>
    <t>No Stipulation; No Judgment</t>
  </si>
  <si>
    <t>Post-Stipulation, No Judgment</t>
  </si>
  <si>
    <t>Post-Judgment, Tenant in Possession-Judgment Due to Other</t>
  </si>
  <si>
    <t>Post-Judgment, Tenant Out of Possession</t>
  </si>
  <si>
    <t>On for Trial</t>
  </si>
  <si>
    <t>No Stipulation; No Judgment, On for Trial</t>
  </si>
  <si>
    <t>04/15/2019</t>
  </si>
  <si>
    <t>07/02/2018</t>
  </si>
  <si>
    <t>03/02/2018</t>
  </si>
  <si>
    <t>07/26/2018</t>
  </si>
  <si>
    <t>09/28/2018</t>
  </si>
  <si>
    <t>05/29/2018</t>
  </si>
  <si>
    <t>06/21/2019</t>
  </si>
  <si>
    <t>06/20/2018</t>
  </si>
  <si>
    <t>05/28/2018</t>
  </si>
  <si>
    <t>01/10/2018</t>
  </si>
  <si>
    <t>11/07/2018</t>
  </si>
  <si>
    <t>12/01/2018</t>
  </si>
  <si>
    <t>06/07/2019</t>
  </si>
  <si>
    <t>06/19/2018</t>
  </si>
  <si>
    <t>07/01/2018</t>
  </si>
  <si>
    <t>04/14/2018</t>
  </si>
  <si>
    <t>07/11/2018</t>
  </si>
  <si>
    <t>05/30/2018</t>
  </si>
  <si>
    <t>04/03/2109</t>
  </si>
  <si>
    <t>03/12/2018</t>
  </si>
  <si>
    <t>04/10/2018</t>
  </si>
  <si>
    <t>04/26/2016</t>
  </si>
  <si>
    <t>05/01/2018</t>
  </si>
  <si>
    <t>05/23/2018</t>
  </si>
  <si>
    <t>11/03/2018</t>
  </si>
  <si>
    <t>Queens Legal Services</t>
  </si>
  <si>
    <t>HRA</t>
  </si>
  <si>
    <t>Court Referral-NON HRA</t>
  </si>
  <si>
    <t>Other</t>
  </si>
  <si>
    <t>Returning Client</t>
  </si>
  <si>
    <t>Self-referred</t>
  </si>
  <si>
    <t>Court</t>
  </si>
  <si>
    <t>Community Organization</t>
  </si>
  <si>
    <t>Elected Official</t>
  </si>
  <si>
    <t>In-House</t>
  </si>
  <si>
    <t>Word of mouth</t>
  </si>
  <si>
    <t>Friends/Family</t>
  </si>
  <si>
    <t>FJC Housing Intake</t>
  </si>
  <si>
    <t>Outreach</t>
  </si>
  <si>
    <t>3-1-1</t>
  </si>
  <si>
    <t>ADP Hotline</t>
  </si>
  <si>
    <t>Tenant Support Unit</t>
  </si>
  <si>
    <t>6002-Prevented eviction from private housing</t>
  </si>
  <si>
    <t>6014-Obtained advice and counsel on a Housing matter</t>
  </si>
  <si>
    <t>6003-Delayed eviction providing time to seek alternative housing</t>
  </si>
  <si>
    <t>6001-Prevented eviction from public housing</t>
  </si>
  <si>
    <t>6017-Obtained other benefit on a Housing matter</t>
  </si>
  <si>
    <t>6004-Obtained access to housing</t>
  </si>
  <si>
    <t>6015-Obtained non-litgation advocacy services on a Housing  matter</t>
  </si>
  <si>
    <t>6008-Overcame denial of tenants rights under lease</t>
  </si>
  <si>
    <t>6021-Provided full representation in a Housing matter, but no legal benefit achieved for the client</t>
  </si>
  <si>
    <t>6016-Obtained referral on a Housing matter</t>
  </si>
  <si>
    <t>09/09/1961</t>
  </si>
  <si>
    <t>12/11/1986</t>
  </si>
  <si>
    <t>04/23/1986</t>
  </si>
  <si>
    <t>11/30/1958</t>
  </si>
  <si>
    <t>02/11/1963</t>
  </si>
  <si>
    <t>08/21/1963</t>
  </si>
  <si>
    <t>01/16/1990</t>
  </si>
  <si>
    <t>10/31/1969</t>
  </si>
  <si>
    <t>08/30/1995</t>
  </si>
  <si>
    <t>07/02/1989</t>
  </si>
  <si>
    <t>07/30/1976</t>
  </si>
  <si>
    <t>01/15/1964</t>
  </si>
  <si>
    <t>03/26/1961</t>
  </si>
  <si>
    <t>09/10/1977</t>
  </si>
  <si>
    <t>08/16/1974</t>
  </si>
  <si>
    <t>02/26/1984</t>
  </si>
  <si>
    <t>02/24/1984</t>
  </si>
  <si>
    <t>11/16/1954</t>
  </si>
  <si>
    <t>02/03/1971</t>
  </si>
  <si>
    <t>06/21/1954</t>
  </si>
  <si>
    <t>01/23/1953</t>
  </si>
  <si>
    <t>01/31/1979</t>
  </si>
  <si>
    <t>09/29/1962</t>
  </si>
  <si>
    <t>02/16/1959</t>
  </si>
  <si>
    <t>02/20/1965</t>
  </si>
  <si>
    <t>03/05/1980</t>
  </si>
  <si>
    <t>12/12/1952</t>
  </si>
  <si>
    <t>02/14/1958</t>
  </si>
  <si>
    <t>12/21/1995</t>
  </si>
  <si>
    <t>08/02/1981</t>
  </si>
  <si>
    <t>07/07/1987</t>
  </si>
  <si>
    <t>02/06/1988</t>
  </si>
  <si>
    <t>10/22/1988</t>
  </si>
  <si>
    <t>10/17/1987</t>
  </si>
  <si>
    <t>05/02/1985</t>
  </si>
  <si>
    <t>09/25/1976</t>
  </si>
  <si>
    <t>12/10/1980</t>
  </si>
  <si>
    <t>03/04/1985</t>
  </si>
  <si>
    <t>12/14/1978</t>
  </si>
  <si>
    <t>02/23/1964</t>
  </si>
  <si>
    <t>04/16/1991</t>
  </si>
  <si>
    <t>02/12/1989</t>
  </si>
  <si>
    <t>02/03/1984</t>
  </si>
  <si>
    <t>05/01/1974</t>
  </si>
  <si>
    <t>09/13/1974</t>
  </si>
  <si>
    <t>09/16/1989</t>
  </si>
  <si>
    <t>05/24/1983</t>
  </si>
  <si>
    <t>09/03/1986</t>
  </si>
  <si>
    <t>05/30/1991</t>
  </si>
  <si>
    <t>01/01/1984</t>
  </si>
  <si>
    <t>09/12/1984</t>
  </si>
  <si>
    <t>07/25/1968</t>
  </si>
  <si>
    <t>08/18/1956</t>
  </si>
  <si>
    <t>07/31/1982</t>
  </si>
  <si>
    <t>01/17/1982</t>
  </si>
  <si>
    <t>03/17/1977</t>
  </si>
  <si>
    <t>12/05/1985</t>
  </si>
  <si>
    <t>07/06/1986</t>
  </si>
  <si>
    <t>10/09/1952</t>
  </si>
  <si>
    <t>09/05/1994</t>
  </si>
  <si>
    <t>05/10/1956</t>
  </si>
  <si>
    <t>08/06/1978</t>
  </si>
  <si>
    <t>01/17/1989</t>
  </si>
  <si>
    <t>06/27/1967</t>
  </si>
  <si>
    <t>05/04/1967</t>
  </si>
  <si>
    <t>01/29/1961</t>
  </si>
  <si>
    <t>10/22/1970</t>
  </si>
  <si>
    <t>10/11/1960</t>
  </si>
  <si>
    <t>03/02/1981</t>
  </si>
  <si>
    <t>11/19/1958</t>
  </si>
  <si>
    <t>11/22/1972</t>
  </si>
  <si>
    <t>05/06/1959</t>
  </si>
  <si>
    <t>07/14/1949</t>
  </si>
  <si>
    <t>06/15/1958</t>
  </si>
  <si>
    <t>07/08/1954</t>
  </si>
  <si>
    <t>12/28/1957</t>
  </si>
  <si>
    <t>12/01/1954</t>
  </si>
  <si>
    <t>06/24/1971</t>
  </si>
  <si>
    <t>08/11/1948</t>
  </si>
  <si>
    <t>09/18/1958</t>
  </si>
  <si>
    <t>11/21/1978</t>
  </si>
  <si>
    <t>09/17/1975</t>
  </si>
  <si>
    <t>08/31/1973</t>
  </si>
  <si>
    <t>04/16/1962</t>
  </si>
  <si>
    <t>05/06/1970</t>
  </si>
  <si>
    <t>12/31/1985</t>
  </si>
  <si>
    <t>01/30/1978</t>
  </si>
  <si>
    <t>01/29/1941</t>
  </si>
  <si>
    <t>05/12/1962</t>
  </si>
  <si>
    <t>09/30/1953</t>
  </si>
  <si>
    <t>08/25/1965</t>
  </si>
  <si>
    <t>07/28/1969</t>
  </si>
  <si>
    <t>04/14/1963</t>
  </si>
  <si>
    <t>11/15/1983</t>
  </si>
  <si>
    <t>06/19/1969</t>
  </si>
  <si>
    <t>05/09/1966</t>
  </si>
  <si>
    <t>08/09/1983</t>
  </si>
  <si>
    <t>05/18/1986</t>
  </si>
  <si>
    <t>03/11/1950</t>
  </si>
  <si>
    <t>09/04/1965</t>
  </si>
  <si>
    <t>11/26/1982</t>
  </si>
  <si>
    <t>03/08/1979</t>
  </si>
  <si>
    <t>05/17/1989</t>
  </si>
  <si>
    <t>01/01/1975</t>
  </si>
  <si>
    <t>02/16/1980</t>
  </si>
  <si>
    <t>08/02/1953</t>
  </si>
  <si>
    <t>06/01/1988</t>
  </si>
  <si>
    <t>10/12/1982</t>
  </si>
  <si>
    <t>10/19/1953</t>
  </si>
  <si>
    <t>07/20/1959</t>
  </si>
  <si>
    <t>03/04/1968</t>
  </si>
  <si>
    <t>01/27/1994</t>
  </si>
  <si>
    <t>12/14/1961</t>
  </si>
  <si>
    <t>02/20/1995</t>
  </si>
  <si>
    <t>11/13/1967</t>
  </si>
  <si>
    <t>05/14/1960</t>
  </si>
  <si>
    <t>01/30/1950</t>
  </si>
  <si>
    <t>01/19/1957</t>
  </si>
  <si>
    <t>06/29/1950</t>
  </si>
  <si>
    <t>01/01/1970</t>
  </si>
  <si>
    <t>02/20/1958</t>
  </si>
  <si>
    <t>02/18/1983</t>
  </si>
  <si>
    <t>06/24/1976</t>
  </si>
  <si>
    <t>10/08/1959</t>
  </si>
  <si>
    <t>09/25/1955</t>
  </si>
  <si>
    <t>05/14/1964</t>
  </si>
  <si>
    <t>05/26/1980</t>
  </si>
  <si>
    <t>08/30/1965</t>
  </si>
  <si>
    <t>12/31/1958</t>
  </si>
  <si>
    <t>08/27/1969</t>
  </si>
  <si>
    <t>06/29/1962</t>
  </si>
  <si>
    <t>12/15/1960</t>
  </si>
  <si>
    <t>07/13/1978</t>
  </si>
  <si>
    <t>03/27/1971</t>
  </si>
  <si>
    <t>08/02/1967</t>
  </si>
  <si>
    <t>07/17/1953</t>
  </si>
  <si>
    <t>05/18/1963</t>
  </si>
  <si>
    <t>11/26/1962</t>
  </si>
  <si>
    <t>03/09/1957</t>
  </si>
  <si>
    <t>03/11/1990</t>
  </si>
  <si>
    <t>09/06/1980</t>
  </si>
  <si>
    <t>08/17/1968</t>
  </si>
  <si>
    <t>02/02/1994</t>
  </si>
  <si>
    <t>06/08/1975</t>
  </si>
  <si>
    <t>01/27/1974</t>
  </si>
  <si>
    <t>06/15/1959</t>
  </si>
  <si>
    <t>05/31/1993</t>
  </si>
  <si>
    <t>10/06/1990</t>
  </si>
  <si>
    <t>06/14/1957</t>
  </si>
  <si>
    <t>02/01/1951</t>
  </si>
  <si>
    <t>04/12/1968</t>
  </si>
  <si>
    <t>09/03/1952</t>
  </si>
  <si>
    <t>01/25/1970</t>
  </si>
  <si>
    <t>11/30/1970</t>
  </si>
  <si>
    <t>03/03/1981</t>
  </si>
  <si>
    <t>12/17/1985</t>
  </si>
  <si>
    <t>03/19/1951</t>
  </si>
  <si>
    <t>03/04/1956</t>
  </si>
  <si>
    <t>01/12/1968</t>
  </si>
  <si>
    <t>01/01/1968</t>
  </si>
  <si>
    <t>11/22/1963</t>
  </si>
  <si>
    <t>12/15/1972</t>
  </si>
  <si>
    <t>06/09/1941</t>
  </si>
  <si>
    <t>06/09/1958</t>
  </si>
  <si>
    <t>02/20/1982</t>
  </si>
  <si>
    <t>06/11/1972</t>
  </si>
  <si>
    <t>03/28/1950</t>
  </si>
  <si>
    <t>01/17/1954</t>
  </si>
  <si>
    <t>02/25/1987</t>
  </si>
  <si>
    <t>10/06/1972</t>
  </si>
  <si>
    <t>12/31/1962</t>
  </si>
  <si>
    <t>05/16/1995</t>
  </si>
  <si>
    <t>09/24/1991</t>
  </si>
  <si>
    <t>07/16/1968</t>
  </si>
  <si>
    <t>09/15/1987</t>
  </si>
  <si>
    <t>04/03/1951</t>
  </si>
  <si>
    <t>12/18/1959</t>
  </si>
  <si>
    <t>05/11/1967</t>
  </si>
  <si>
    <t>12/16/1958</t>
  </si>
  <si>
    <t>08/01/1962</t>
  </si>
  <si>
    <t>05/31/1963</t>
  </si>
  <si>
    <t>10/19/1991</t>
  </si>
  <si>
    <t>09/03/1998</t>
  </si>
  <si>
    <t>11/15/1957</t>
  </si>
  <si>
    <t>06/11/1986</t>
  </si>
  <si>
    <t>09/27/1973</t>
  </si>
  <si>
    <t>04/25/1980</t>
  </si>
  <si>
    <t>09/26/1946</t>
  </si>
  <si>
    <t>10/07/1986</t>
  </si>
  <si>
    <t>07/29/1988</t>
  </si>
  <si>
    <t>02/17/1983</t>
  </si>
  <si>
    <t>09/15/1963</t>
  </si>
  <si>
    <t>04/28/1965</t>
  </si>
  <si>
    <t>11/08/1968</t>
  </si>
  <si>
    <t>01/21/1961</t>
  </si>
  <si>
    <t>09/07/1954</t>
  </si>
  <si>
    <t>09/03/1973</t>
  </si>
  <si>
    <t>04/25/1978</t>
  </si>
  <si>
    <t>10/12/1986</t>
  </si>
  <si>
    <t>04/08/1990</t>
  </si>
  <si>
    <t>06/15/1977</t>
  </si>
  <si>
    <t>07/04/1987</t>
  </si>
  <si>
    <t>12/23/1959</t>
  </si>
  <si>
    <t>03/28/1960</t>
  </si>
  <si>
    <t>08/14/1973</t>
  </si>
  <si>
    <t>01/27/1967</t>
  </si>
  <si>
    <t>10/31/1975</t>
  </si>
  <si>
    <t>09/25/1952</t>
  </si>
  <si>
    <t>06/11/1960</t>
  </si>
  <si>
    <t>12/06/1956</t>
  </si>
  <si>
    <t>05/31/1976</t>
  </si>
  <si>
    <t>08/08/1979</t>
  </si>
  <si>
    <t>11/07/1996</t>
  </si>
  <si>
    <t>02/03/1974</t>
  </si>
  <si>
    <t>04/15/1988</t>
  </si>
  <si>
    <t>12/20/1977</t>
  </si>
  <si>
    <t>11/02/1973</t>
  </si>
  <si>
    <t>08/21/1981</t>
  </si>
  <si>
    <t>02/10/1978</t>
  </si>
  <si>
    <t>12/27/1977</t>
  </si>
  <si>
    <t>12/18/1977</t>
  </si>
  <si>
    <t>10/04/1977</t>
  </si>
  <si>
    <t>01/28/1989</t>
  </si>
  <si>
    <t>06/07/1992</t>
  </si>
  <si>
    <t>11/06/1968</t>
  </si>
  <si>
    <t>11/27/1968</t>
  </si>
  <si>
    <t>02/13/1966</t>
  </si>
  <si>
    <t>10/11/1972</t>
  </si>
  <si>
    <t>01/20/1989</t>
  </si>
  <si>
    <t>07/31/1974</t>
  </si>
  <si>
    <t>06/13/1976</t>
  </si>
  <si>
    <t>06/19/1965</t>
  </si>
  <si>
    <t>08/09/1954</t>
  </si>
  <si>
    <t>08/21/1978</t>
  </si>
  <si>
    <t>06/06/1961</t>
  </si>
  <si>
    <t>05/08/1944</t>
  </si>
  <si>
    <t>07/22/1960</t>
  </si>
  <si>
    <t>10/05/1970</t>
  </si>
  <si>
    <t>07/15/1978</t>
  </si>
  <si>
    <t>07/17/1965</t>
  </si>
  <si>
    <t>07/25/1976</t>
  </si>
  <si>
    <t>07/29/1963</t>
  </si>
  <si>
    <t>11/03/1986</t>
  </si>
  <si>
    <t>02/04/1985</t>
  </si>
  <si>
    <t>06/14/1953</t>
  </si>
  <si>
    <t>05/15/1976</t>
  </si>
  <si>
    <t>10/25/1949</t>
  </si>
  <si>
    <t>11/30/1948</t>
  </si>
  <si>
    <t>04/03/1945</t>
  </si>
  <si>
    <t>10/22/1956</t>
  </si>
  <si>
    <t>02/01/1985</t>
  </si>
  <si>
    <t>05/10/1957</t>
  </si>
  <si>
    <t>03/18/1951</t>
  </si>
  <si>
    <t>06/26/1963</t>
  </si>
  <si>
    <t>10/26/1942</t>
  </si>
  <si>
    <t>07/24/1949</t>
  </si>
  <si>
    <t>02/17/1989</t>
  </si>
  <si>
    <t>10/25/1977</t>
  </si>
  <si>
    <t>11/21/1984</t>
  </si>
  <si>
    <t>07/08/1961</t>
  </si>
  <si>
    <t>05/24/1986</t>
  </si>
  <si>
    <t>06/19/1970</t>
  </si>
  <si>
    <t>01/15/1966</t>
  </si>
  <si>
    <t>05/14/1985</t>
  </si>
  <si>
    <t>07/04/1977</t>
  </si>
  <si>
    <t>10/21/1967</t>
  </si>
  <si>
    <t>12/24/1960</t>
  </si>
  <si>
    <t>11/06/1964</t>
  </si>
  <si>
    <t>10/10/1967</t>
  </si>
  <si>
    <t>06/24/1964</t>
  </si>
  <si>
    <t>01/29/1949</t>
  </si>
  <si>
    <t>10/20/1974</t>
  </si>
  <si>
    <t>03/07/1974</t>
  </si>
  <si>
    <t>10/31/1949</t>
  </si>
  <si>
    <t>09/06/1952</t>
  </si>
  <si>
    <t>02/24/1970</t>
  </si>
  <si>
    <t>06/04/1991</t>
  </si>
  <si>
    <t>08/09/1958</t>
  </si>
  <si>
    <t>10/25/1967</t>
  </si>
  <si>
    <t>01/03/1972</t>
  </si>
  <si>
    <t>02/27/1975</t>
  </si>
  <si>
    <t>11/04/1980</t>
  </si>
  <si>
    <t>11/11/1970</t>
  </si>
  <si>
    <t>06/16/1950</t>
  </si>
  <si>
    <t>09/06/1979</t>
  </si>
  <si>
    <t>05/30/1974</t>
  </si>
  <si>
    <t>11/18/1985</t>
  </si>
  <si>
    <t>10/11/1954</t>
  </si>
  <si>
    <t>04/04/1982</t>
  </si>
  <si>
    <t>02/24/1959</t>
  </si>
  <si>
    <t>12/30/1979</t>
  </si>
  <si>
    <t>08/25/1981</t>
  </si>
  <si>
    <t>09/09/1986</t>
  </si>
  <si>
    <t>04/14/1977</t>
  </si>
  <si>
    <t>05/28/1983</t>
  </si>
  <si>
    <t>12/28/1977</t>
  </si>
  <si>
    <t>09/08/1982</t>
  </si>
  <si>
    <t>09/18/1962</t>
  </si>
  <si>
    <t>02/14/1982</t>
  </si>
  <si>
    <t>11/01/1966</t>
  </si>
  <si>
    <t>07/23/1977</t>
  </si>
  <si>
    <t>02/07/1970</t>
  </si>
  <si>
    <t>09/04/1959</t>
  </si>
  <si>
    <t>08/14/1977</t>
  </si>
  <si>
    <t>10/08/1962</t>
  </si>
  <si>
    <t>09/26/1959</t>
  </si>
  <si>
    <t>05/25/1985</t>
  </si>
  <si>
    <t>10/24/1972</t>
  </si>
  <si>
    <t>05/29/1988</t>
  </si>
  <si>
    <t>10/06/1982</t>
  </si>
  <si>
    <t>11/28/1967</t>
  </si>
  <si>
    <t>02/13/1981</t>
  </si>
  <si>
    <t>02/28/1963</t>
  </si>
  <si>
    <t>10/18/1967</t>
  </si>
  <si>
    <t>06/29/1966</t>
  </si>
  <si>
    <t>08/19/1983</t>
  </si>
  <si>
    <t>04/26/1956</t>
  </si>
  <si>
    <t>02/14/1984</t>
  </si>
  <si>
    <t>11/10/1990</t>
  </si>
  <si>
    <t>04/16/1980</t>
  </si>
  <si>
    <t>09/18/1955</t>
  </si>
  <si>
    <t>11/28/1976</t>
  </si>
  <si>
    <t>01/13/1975</t>
  </si>
  <si>
    <t>07/29/1986</t>
  </si>
  <si>
    <t>01/20/1991</t>
  </si>
  <si>
    <t>11/05/1986</t>
  </si>
  <si>
    <t>10/06/1979</t>
  </si>
  <si>
    <t>12/31/1977</t>
  </si>
  <si>
    <t>10/13/1994</t>
  </si>
  <si>
    <t>08/15/1968</t>
  </si>
  <si>
    <t>06/08/1977</t>
  </si>
  <si>
    <t>10/22/1950</t>
  </si>
  <si>
    <t>01/23/1980</t>
  </si>
  <si>
    <t>11/22/1984</t>
  </si>
  <si>
    <t>04/17/1982</t>
  </si>
  <si>
    <t>09/08/1980</t>
  </si>
  <si>
    <t>06/07/1976</t>
  </si>
  <si>
    <t>11/28/1978</t>
  </si>
  <si>
    <t>01/22/1980</t>
  </si>
  <si>
    <t>04/20/1991</t>
  </si>
  <si>
    <t>05/01/1982</t>
  </si>
  <si>
    <t>01/03/1974</t>
  </si>
  <si>
    <t>08/09/1997</t>
  </si>
  <si>
    <t>01/11/1968</t>
  </si>
  <si>
    <t>06/04/1981</t>
  </si>
  <si>
    <t>03/07/1977</t>
  </si>
  <si>
    <t>11/05/1978</t>
  </si>
  <si>
    <t>02/13/1949</t>
  </si>
  <si>
    <t>06/11/1961</t>
  </si>
  <si>
    <t>07/16/1986</t>
  </si>
  <si>
    <t>05/13/1977</t>
  </si>
  <si>
    <t>01/23/1965</t>
  </si>
  <si>
    <t>12/27/1974</t>
  </si>
  <si>
    <t>07/15/1972</t>
  </si>
  <si>
    <t>05/15/1937</t>
  </si>
  <si>
    <t>03/07/1947</t>
  </si>
  <si>
    <t>11/26/1961</t>
  </si>
  <si>
    <t>04/08/1977</t>
  </si>
  <si>
    <t>09/08/1954</t>
  </si>
  <si>
    <t>09/10/1975</t>
  </si>
  <si>
    <t>11/20/1976</t>
  </si>
  <si>
    <t>11/21/1967</t>
  </si>
  <si>
    <t>05/31/1982</t>
  </si>
  <si>
    <t>12/31/1984</t>
  </si>
  <si>
    <t>01/11/1993</t>
  </si>
  <si>
    <t>01/28/1998</t>
  </si>
  <si>
    <t>01/03/1977</t>
  </si>
  <si>
    <t>04/24/1975</t>
  </si>
  <si>
    <t>03/17/1981</t>
  </si>
  <si>
    <t>02/04/1968</t>
  </si>
  <si>
    <t>04/16/1969</t>
  </si>
  <si>
    <t>03/09/1937</t>
  </si>
  <si>
    <t>08/04/1961</t>
  </si>
  <si>
    <t>09/06/1971</t>
  </si>
  <si>
    <t>01/05/1960</t>
  </si>
  <si>
    <t>01/04/1954</t>
  </si>
  <si>
    <t>12/30/1944</t>
  </si>
  <si>
    <t>08/20/1963</t>
  </si>
  <si>
    <t>01/24/1939</t>
  </si>
  <si>
    <t>09/20/1990</t>
  </si>
  <si>
    <t>11/22/1986</t>
  </si>
  <si>
    <t>03/27/1980</t>
  </si>
  <si>
    <t>09/11/1979</t>
  </si>
  <si>
    <t>02/17/1956</t>
  </si>
  <si>
    <t>04/20/1977</t>
  </si>
  <si>
    <t>11/20/1961</t>
  </si>
  <si>
    <t>11/27/1988</t>
  </si>
  <si>
    <t>11/03/1978</t>
  </si>
  <si>
    <t>04/19/1982</t>
  </si>
  <si>
    <t>07/15/1967</t>
  </si>
  <si>
    <t>08/07/1985</t>
  </si>
  <si>
    <t>03/10/1972</t>
  </si>
  <si>
    <t>12/16/1944</t>
  </si>
  <si>
    <t>12/30/1973</t>
  </si>
  <si>
    <t>04/08/1983</t>
  </si>
  <si>
    <t>07/14/1974</t>
  </si>
  <si>
    <t>08/02/1985</t>
  </si>
  <si>
    <t>02/10/1989</t>
  </si>
  <si>
    <t>06/22/1968</t>
  </si>
  <si>
    <t>08/04/1952</t>
  </si>
  <si>
    <t>02/03/1957</t>
  </si>
  <si>
    <t>11/08/1955</t>
  </si>
  <si>
    <t>01/29/1963</t>
  </si>
  <si>
    <t>05/29/1986</t>
  </si>
  <si>
    <t>12/19/1975</t>
  </si>
  <si>
    <t>09/07/1961</t>
  </si>
  <si>
    <t>10/27/1950</t>
  </si>
  <si>
    <t>08/12/1969</t>
  </si>
  <si>
    <t>11/11/1988</t>
  </si>
  <si>
    <t>07/27/1987</t>
  </si>
  <si>
    <t>09/04/1979</t>
  </si>
  <si>
    <t>05/03/1990</t>
  </si>
  <si>
    <t>11/19/1986</t>
  </si>
  <si>
    <t>11/10/1967</t>
  </si>
  <si>
    <t>08/29/1987</t>
  </si>
  <si>
    <t>01/22/1950</t>
  </si>
  <si>
    <t>06/24/1963</t>
  </si>
  <si>
    <t>05/13/1975</t>
  </si>
  <si>
    <t>02/05/1945</t>
  </si>
  <si>
    <t>11/26/1950</t>
  </si>
  <si>
    <t>09/23/1973</t>
  </si>
  <si>
    <t>11/16/1973</t>
  </si>
  <si>
    <t>05/24/1958</t>
  </si>
  <si>
    <t>08/10/1961</t>
  </si>
  <si>
    <t>09/01/1945</t>
  </si>
  <si>
    <t>02/13/1976</t>
  </si>
  <si>
    <t>03/07/1983</t>
  </si>
  <si>
    <t>05/22/1967</t>
  </si>
  <si>
    <t>05/10/1933</t>
  </si>
  <si>
    <t>11/20/1962</t>
  </si>
  <si>
    <t>10/30/1947</t>
  </si>
  <si>
    <t>08/13/1971</t>
  </si>
  <si>
    <t>05/11/1954</t>
  </si>
  <si>
    <t>03/11/1957</t>
  </si>
  <si>
    <t>12/15/1961</t>
  </si>
  <si>
    <t>01/07/1975</t>
  </si>
  <si>
    <t>04/19/1970</t>
  </si>
  <si>
    <t>05/21/1951</t>
  </si>
  <si>
    <t>02/20/1943</t>
  </si>
  <si>
    <t>04/30/1967</t>
  </si>
  <si>
    <t>08/16/1989</t>
  </si>
  <si>
    <t>09/16/1962</t>
  </si>
  <si>
    <t>03/17/1960</t>
  </si>
  <si>
    <t>07/20/1961</t>
  </si>
  <si>
    <t>03/16/1967</t>
  </si>
  <si>
    <t>07/18/1959</t>
  </si>
  <si>
    <t>03/05/1956</t>
  </si>
  <si>
    <t>02/19/1964</t>
  </si>
  <si>
    <t>07/31/1969</t>
  </si>
  <si>
    <t>07/01/1943</t>
  </si>
  <si>
    <t>12/26/1979</t>
  </si>
  <si>
    <t>05/05/1951</t>
  </si>
  <si>
    <t>03/12/1963</t>
  </si>
  <si>
    <t>01/05/1952</t>
  </si>
  <si>
    <t>09/21/1960</t>
  </si>
  <si>
    <t>08/21/1979</t>
  </si>
  <si>
    <t>12/15/1963</t>
  </si>
  <si>
    <t>07/10/1970</t>
  </si>
  <si>
    <t>05/14/1971</t>
  </si>
  <si>
    <t>11/25/1980</t>
  </si>
  <si>
    <t>07/21/1977</t>
  </si>
  <si>
    <t>11/28/1993</t>
  </si>
  <si>
    <t>03/25/1963</t>
  </si>
  <si>
    <t>04/23/1991</t>
  </si>
  <si>
    <t>07/05/1959</t>
  </si>
  <si>
    <t>02/02/1954</t>
  </si>
  <si>
    <t>09/13/1977</t>
  </si>
  <si>
    <t>07/18/1984</t>
  </si>
  <si>
    <t>03/30/1969</t>
  </si>
  <si>
    <t>05/08/1955</t>
  </si>
  <si>
    <t>07/02/1966</t>
  </si>
  <si>
    <t>02/27/1945</t>
  </si>
  <si>
    <t>08/03/1974</t>
  </si>
  <si>
    <t>10/29/1966</t>
  </si>
  <si>
    <t>05/18/1957</t>
  </si>
  <si>
    <t>09/02/1992</t>
  </si>
  <si>
    <t>09/24/1951</t>
  </si>
  <si>
    <t>09/04/1961</t>
  </si>
  <si>
    <t>09/19/1973</t>
  </si>
  <si>
    <t>01/28/1977</t>
  </si>
  <si>
    <t>02/17/1978</t>
  </si>
  <si>
    <t>12/01/1975</t>
  </si>
  <si>
    <t>02/04/1982</t>
  </si>
  <si>
    <t>09/02/1977</t>
  </si>
  <si>
    <t>11/19/1962</t>
  </si>
  <si>
    <t>03/12/1987</t>
  </si>
  <si>
    <t>12/17/1954</t>
  </si>
  <si>
    <t>08/06/1992</t>
  </si>
  <si>
    <t>12/13/1971</t>
  </si>
  <si>
    <t>04/27/1966</t>
  </si>
  <si>
    <t>02/09/1965</t>
  </si>
  <si>
    <t>06/04/1967</t>
  </si>
  <si>
    <t>05/27/1953</t>
  </si>
  <si>
    <t>03/14/1971</t>
  </si>
  <si>
    <t>09/11/1965</t>
  </si>
  <si>
    <t>05/21/1968</t>
  </si>
  <si>
    <t>08/25/1959</t>
  </si>
  <si>
    <t>05/23/1978</t>
  </si>
  <si>
    <t>03/09/1965</t>
  </si>
  <si>
    <t>06/29/1958</t>
  </si>
  <si>
    <t>08/10/1990</t>
  </si>
  <si>
    <t>07/08/1989</t>
  </si>
  <si>
    <t>06/12/1997</t>
  </si>
  <si>
    <t>08/08/1981</t>
  </si>
  <si>
    <t>03/26/1973</t>
  </si>
  <si>
    <t>10/02/1979</t>
  </si>
  <si>
    <t>02/14/1953</t>
  </si>
  <si>
    <t>06/10/1979</t>
  </si>
  <si>
    <t>07/08/1985</t>
  </si>
  <si>
    <t>11/13/1991</t>
  </si>
  <si>
    <t>06/12/1950</t>
  </si>
  <si>
    <t>12/02/1962</t>
  </si>
  <si>
    <t>08/02/1975</t>
  </si>
  <si>
    <t>08/06/1974</t>
  </si>
  <si>
    <t>08/14/1996</t>
  </si>
  <si>
    <t>10/24/1959</t>
  </si>
  <si>
    <t>07/22/1953</t>
  </si>
  <si>
    <t>12/21/1952</t>
  </si>
  <si>
    <t>04/04/1942</t>
  </si>
  <si>
    <t>07/17/1962</t>
  </si>
  <si>
    <t>01/24/1968</t>
  </si>
  <si>
    <t>08/31/1984</t>
  </si>
  <si>
    <t>11/14/1981</t>
  </si>
  <si>
    <t>12/26/1974</t>
  </si>
  <si>
    <t>03/15/1987</t>
  </si>
  <si>
    <t>08/16/1990</t>
  </si>
  <si>
    <t>11/20/1971</t>
  </si>
  <si>
    <t>06/08/1986</t>
  </si>
  <si>
    <t>10/18/1984</t>
  </si>
  <si>
    <t>05/08/1967</t>
  </si>
  <si>
    <t>11/01/1982</t>
  </si>
  <si>
    <t>06/18/1996</t>
  </si>
  <si>
    <t>11/22/1962</t>
  </si>
  <si>
    <t>09/15/1990</t>
  </si>
  <si>
    <t>02/13/1968</t>
  </si>
  <si>
    <t>06/05/1989</t>
  </si>
  <si>
    <t>11/15/1940</t>
  </si>
  <si>
    <t>08/20/1995</t>
  </si>
  <si>
    <t>06/21/1961</t>
  </si>
  <si>
    <t>02/05/1985</t>
  </si>
  <si>
    <t>04/22/1963</t>
  </si>
  <si>
    <t>02/18/1980</t>
  </si>
  <si>
    <t>10/21/1985</t>
  </si>
  <si>
    <t>07/11/1984</t>
  </si>
  <si>
    <t>03/07/1965</t>
  </si>
  <si>
    <t>04/11/1946</t>
  </si>
  <si>
    <t>12/28/1958</t>
  </si>
  <si>
    <t>12/10/1987</t>
  </si>
  <si>
    <t>07/20/1983</t>
  </si>
  <si>
    <t>11/29/1955</t>
  </si>
  <si>
    <t>02/03/1982</t>
  </si>
  <si>
    <t>10/31/1963</t>
  </si>
  <si>
    <t>10/05/1984</t>
  </si>
  <si>
    <t>11/28/1981</t>
  </si>
  <si>
    <t>01/30/1981</t>
  </si>
  <si>
    <t>07/02/1973</t>
  </si>
  <si>
    <t>03/19/1994</t>
  </si>
  <si>
    <t>09/04/1980</t>
  </si>
  <si>
    <t>05/20/1987</t>
  </si>
  <si>
    <t>11/24/1942</t>
  </si>
  <si>
    <t>11/10/1960</t>
  </si>
  <si>
    <t>03/11/1988</t>
  </si>
  <si>
    <t>12/10/1954</t>
  </si>
  <si>
    <t>01/10/1971</t>
  </si>
  <si>
    <t>12/16/1947</t>
  </si>
  <si>
    <t>07/01/1955</t>
  </si>
  <si>
    <t>03/19/1989</t>
  </si>
  <si>
    <t>03/11/1991</t>
  </si>
  <si>
    <t>03/12/1990</t>
  </si>
  <si>
    <t>02/06/1971</t>
  </si>
  <si>
    <t>10/01/1982</t>
  </si>
  <si>
    <t>07/08/1986</t>
  </si>
  <si>
    <t>02/11/1987</t>
  </si>
  <si>
    <t>09/17/1971</t>
  </si>
  <si>
    <t>01/13/1984</t>
  </si>
  <si>
    <t>04/16/1996</t>
  </si>
  <si>
    <t>04/02/1981</t>
  </si>
  <si>
    <t>02/10/1994</t>
  </si>
  <si>
    <t>06/10/1941</t>
  </si>
  <si>
    <t>11/19/1960</t>
  </si>
  <si>
    <t>09/24/1964</t>
  </si>
  <si>
    <t>04/27/1950</t>
  </si>
  <si>
    <t>10/06/1957</t>
  </si>
  <si>
    <t>01/15/1946</t>
  </si>
  <si>
    <t>08/18/1953</t>
  </si>
  <si>
    <t>05/31/1977</t>
  </si>
  <si>
    <t>02/23/1961</t>
  </si>
  <si>
    <t>03/11/1955</t>
  </si>
  <si>
    <t>04/08/1975</t>
  </si>
  <si>
    <t>11/06/1960</t>
  </si>
  <si>
    <t>11/24/1962</t>
  </si>
  <si>
    <t>01/20/1973</t>
  </si>
  <si>
    <t>05/04/1951</t>
  </si>
  <si>
    <t>09/16/1965</t>
  </si>
  <si>
    <t>11/28/1964</t>
  </si>
  <si>
    <t>08/07/1989</t>
  </si>
  <si>
    <t>05/29/1979</t>
  </si>
  <si>
    <t>11/07/1982</t>
  </si>
  <si>
    <t>02/13/1957</t>
  </si>
  <si>
    <t>03/17/1978</t>
  </si>
  <si>
    <t>10/28/1944</t>
  </si>
  <si>
    <t>06/06/1977</t>
  </si>
  <si>
    <t>11/18/1971</t>
  </si>
  <si>
    <t>08/04/1964</t>
  </si>
  <si>
    <t>12/12/1989</t>
  </si>
  <si>
    <t>04/02/1988</t>
  </si>
  <si>
    <t>01/05/1978</t>
  </si>
  <si>
    <t>04/24/1965</t>
  </si>
  <si>
    <t>12/06/1973</t>
  </si>
  <si>
    <t>07/15/1985</t>
  </si>
  <si>
    <t>06/20/1976</t>
  </si>
  <si>
    <t>08/01/1966</t>
  </si>
  <si>
    <t>01/25/1985</t>
  </si>
  <si>
    <t>09/25/1948</t>
  </si>
  <si>
    <t>04/20/1957</t>
  </si>
  <si>
    <t>09/30/1957</t>
  </si>
  <si>
    <t>08/23/1965</t>
  </si>
  <si>
    <t>04/14/1983</t>
  </si>
  <si>
    <t>04/27/1985</t>
  </si>
  <si>
    <t>09/03/1938</t>
  </si>
  <si>
    <t>02/02/1971</t>
  </si>
  <si>
    <t>11/02/1962</t>
  </si>
  <si>
    <t>10/16/1949</t>
  </si>
  <si>
    <t>08/08/1954</t>
  </si>
  <si>
    <t>07/07/1972</t>
  </si>
  <si>
    <t>04/30/1939</t>
  </si>
  <si>
    <t>12/12/1975</t>
  </si>
  <si>
    <t>10/09/1949</t>
  </si>
  <si>
    <t>03/09/1961</t>
  </si>
  <si>
    <t>03/08/1952</t>
  </si>
  <si>
    <t>08/14/1949</t>
  </si>
  <si>
    <t>07/22/1979</t>
  </si>
  <si>
    <t>08/02/1970</t>
  </si>
  <si>
    <t>06/25/1966</t>
  </si>
  <si>
    <t>01/15/1984</t>
  </si>
  <si>
    <t>01/05/1958</t>
  </si>
  <si>
    <t>05/08/1961</t>
  </si>
  <si>
    <t>07/09/1960</t>
  </si>
  <si>
    <t>06/27/1972</t>
  </si>
  <si>
    <t>02/08/1972</t>
  </si>
  <si>
    <t>05/12/1956</t>
  </si>
  <si>
    <t>01/01/1959</t>
  </si>
  <si>
    <t>02/22/1951</t>
  </si>
  <si>
    <t>02/10/1957</t>
  </si>
  <si>
    <t>06/30/1960</t>
  </si>
  <si>
    <t>10/30/1960</t>
  </si>
  <si>
    <t>12/07/1965</t>
  </si>
  <si>
    <t>06/19/1939</t>
  </si>
  <si>
    <t>09/23/1986</t>
  </si>
  <si>
    <t>07/05/1989</t>
  </si>
  <si>
    <t>10/21/1954</t>
  </si>
  <si>
    <t>03/03/1963</t>
  </si>
  <si>
    <t>06/08/1979</t>
  </si>
  <si>
    <t>07/01/1977</t>
  </si>
  <si>
    <t>05/01/1956</t>
  </si>
  <si>
    <t>08/06/1982</t>
  </si>
  <si>
    <t>11/11/1990</t>
  </si>
  <si>
    <t>02/05/1982</t>
  </si>
  <si>
    <t>10/08/1983</t>
  </si>
  <si>
    <t>05/04/1956</t>
  </si>
  <si>
    <t>12/16/1950</t>
  </si>
  <si>
    <t>01/15/1978</t>
  </si>
  <si>
    <t>03/31/1950</t>
  </si>
  <si>
    <t>03/06/1980</t>
  </si>
  <si>
    <t>10/27/1982</t>
  </si>
  <si>
    <t>04/25/1967</t>
  </si>
  <si>
    <t>09/07/1951</t>
  </si>
  <si>
    <t>11/13/1984</t>
  </si>
  <si>
    <t>02/22/1982</t>
  </si>
  <si>
    <t>04/24/1969</t>
  </si>
  <si>
    <t>02/19/1966</t>
  </si>
  <si>
    <t>07/01/1983</t>
  </si>
  <si>
    <t>12/04/1974</t>
  </si>
  <si>
    <t>08/15/1987</t>
  </si>
  <si>
    <t>12/22/1983</t>
  </si>
  <si>
    <t>07/10/1976</t>
  </si>
  <si>
    <t>07/23/1985</t>
  </si>
  <si>
    <t>01/17/1971</t>
  </si>
  <si>
    <t>02/23/1984</t>
  </si>
  <si>
    <t>07/19/1989</t>
  </si>
  <si>
    <t>02/20/1966</t>
  </si>
  <si>
    <t>05/23/1967</t>
  </si>
  <si>
    <t>03/15/1974</t>
  </si>
  <si>
    <t>12/03/1953</t>
  </si>
  <si>
    <t>04/11/1982</t>
  </si>
  <si>
    <t>07/21/1952</t>
  </si>
  <si>
    <t>08/24/1940</t>
  </si>
  <si>
    <t>08/12/1950</t>
  </si>
  <si>
    <t>01/08/1983</t>
  </si>
  <si>
    <t>01/28/1969</t>
  </si>
  <si>
    <t>11/21/1937</t>
  </si>
  <si>
    <t>10/06/1986</t>
  </si>
  <si>
    <t>02/11/1945</t>
  </si>
  <si>
    <t>07/14/1956</t>
  </si>
  <si>
    <t>11/23/1962</t>
  </si>
  <si>
    <t>09/01/1977</t>
  </si>
  <si>
    <t>09/27/1960</t>
  </si>
  <si>
    <t>02/14/1952</t>
  </si>
  <si>
    <t>03/13/1969</t>
  </si>
  <si>
    <t>06/18/1991</t>
  </si>
  <si>
    <t>06/06/1983</t>
  </si>
  <si>
    <t>08/03/1976</t>
  </si>
  <si>
    <t>04/04/1991</t>
  </si>
  <si>
    <t>06/22/1949</t>
  </si>
  <si>
    <t>10/12/1976</t>
  </si>
  <si>
    <t>07/09/1951</t>
  </si>
  <si>
    <t>08/30/1969</t>
  </si>
  <si>
    <t>07/31/1968</t>
  </si>
  <si>
    <t>12/14/1946</t>
  </si>
  <si>
    <t>04/26/1972</t>
  </si>
  <si>
    <t>03/11/1959</t>
  </si>
  <si>
    <t>07/25/1967</t>
  </si>
  <si>
    <t>11/04/1973</t>
  </si>
  <si>
    <t>12/07/1987</t>
  </si>
  <si>
    <t>01/20/1967</t>
  </si>
  <si>
    <t>04/11/1974</t>
  </si>
  <si>
    <t>12/12/1973</t>
  </si>
  <si>
    <t>01/05/1969</t>
  </si>
  <si>
    <t>11/10/1970</t>
  </si>
  <si>
    <t>11/01/1957</t>
  </si>
  <si>
    <t>04/04/1988</t>
  </si>
  <si>
    <t>05/08/1960</t>
  </si>
  <si>
    <t>06/29/1964</t>
  </si>
  <si>
    <t>01/07/1991</t>
  </si>
  <si>
    <t>07/30/1987</t>
  </si>
  <si>
    <t>08/15/1990</t>
  </si>
  <si>
    <t>04/30/1985</t>
  </si>
  <si>
    <t>12/19/1950</t>
  </si>
  <si>
    <t>11/29/1981</t>
  </si>
  <si>
    <t>03/05/1991</t>
  </si>
  <si>
    <t>10/21/1977</t>
  </si>
  <si>
    <t>12/12/1974</t>
  </si>
  <si>
    <t>11/12/1990</t>
  </si>
  <si>
    <t>05/10/1969</t>
  </si>
  <si>
    <t>09/01/1960</t>
  </si>
  <si>
    <t>04/24/1961</t>
  </si>
  <si>
    <t>02/06/1972</t>
  </si>
  <si>
    <t>12/30/1974</t>
  </si>
  <si>
    <t>04/14/1955</t>
  </si>
  <si>
    <t>01/24/1952</t>
  </si>
  <si>
    <t>03/02/1980</t>
  </si>
  <si>
    <t>08/02/1982</t>
  </si>
  <si>
    <t>03/07/1972</t>
  </si>
  <si>
    <t>09/29/1971</t>
  </si>
  <si>
    <t>01/02/1943</t>
  </si>
  <si>
    <t>08/23/1977</t>
  </si>
  <si>
    <t>02/05/1991</t>
  </si>
  <si>
    <t>06/19/1973</t>
  </si>
  <si>
    <t>10/29/1986</t>
  </si>
  <si>
    <t>03/08/1968</t>
  </si>
  <si>
    <t>11/23/1981</t>
  </si>
  <si>
    <t>03/19/1962</t>
  </si>
  <si>
    <t>04/19/1983</t>
  </si>
  <si>
    <t>08/26/1941</t>
  </si>
  <si>
    <t>09/21/1985</t>
  </si>
  <si>
    <t>01/06/1980</t>
  </si>
  <si>
    <t>03/14/1949</t>
  </si>
  <si>
    <t>11/19/1973</t>
  </si>
  <si>
    <t>06/18/1988</t>
  </si>
  <si>
    <t>05/23/1972</t>
  </si>
  <si>
    <t>07/22/1965</t>
  </si>
  <si>
    <t>10/11/1964</t>
  </si>
  <si>
    <t>01/16/1954</t>
  </si>
  <si>
    <t>02/05/1958</t>
  </si>
  <si>
    <t>07/27/1946</t>
  </si>
  <si>
    <t>10/01/1935</t>
  </si>
  <si>
    <t>11/30/1978</t>
  </si>
  <si>
    <t>11/22/1981</t>
  </si>
  <si>
    <t>06/21/1984</t>
  </si>
  <si>
    <t>09/02/1996</t>
  </si>
  <si>
    <t>08/18/1979</t>
  </si>
  <si>
    <t>10/01/1968</t>
  </si>
  <si>
    <t>12/21/1956</t>
  </si>
  <si>
    <t>10/11/1974</t>
  </si>
  <si>
    <t>08/10/1966</t>
  </si>
  <si>
    <t>06/17/1970</t>
  </si>
  <si>
    <t>11/17/1975</t>
  </si>
  <si>
    <t>11/12/1982</t>
  </si>
  <si>
    <t>01/03/1993</t>
  </si>
  <si>
    <t>07/25/1982</t>
  </si>
  <si>
    <t>02/12/1983</t>
  </si>
  <si>
    <t>10/09/1973</t>
  </si>
  <si>
    <t>07/18/1966</t>
  </si>
  <si>
    <t>06/16/1963</t>
  </si>
  <si>
    <t>08/04/1979</t>
  </si>
  <si>
    <t>09/06/1989</t>
  </si>
  <si>
    <t>04/29/1976</t>
  </si>
  <si>
    <t>08/19/1955</t>
  </si>
  <si>
    <t>02/15/1933</t>
  </si>
  <si>
    <t>12/29/1983</t>
  </si>
  <si>
    <t>10/19/1950</t>
  </si>
  <si>
    <t>12/23/1968</t>
  </si>
  <si>
    <t>04/13/1987</t>
  </si>
  <si>
    <t>01/28/1947</t>
  </si>
  <si>
    <t>04/12/1986</t>
  </si>
  <si>
    <t>07/20/1964</t>
  </si>
  <si>
    <t>09/12/1985</t>
  </si>
  <si>
    <t>10/24/1979</t>
  </si>
  <si>
    <t>06/18/1957</t>
  </si>
  <si>
    <t>04/21/1961</t>
  </si>
  <si>
    <t>12/15/1966</t>
  </si>
  <si>
    <t>08/15/1975</t>
  </si>
  <si>
    <t>08/21/1983</t>
  </si>
  <si>
    <t>08/09/1961</t>
  </si>
  <si>
    <t>01/28/1988</t>
  </si>
  <si>
    <t>10/28/1978</t>
  </si>
  <si>
    <t>03/06/1991</t>
  </si>
  <si>
    <t>08/14/1974</t>
  </si>
  <si>
    <t>04/05/1980</t>
  </si>
  <si>
    <t>10/30/1961</t>
  </si>
  <si>
    <t>05/15/1951</t>
  </si>
  <si>
    <t>08/02/1983</t>
  </si>
  <si>
    <t>10/30/1983</t>
  </si>
  <si>
    <t>02/26/1995</t>
  </si>
  <si>
    <t>08/13/1977</t>
  </si>
  <si>
    <t>12/01/1990</t>
  </si>
  <si>
    <t>02/16/1983</t>
  </si>
  <si>
    <t>08/11/1955</t>
  </si>
  <si>
    <t>12/28/1971</t>
  </si>
  <si>
    <t>09/16/1991</t>
  </si>
  <si>
    <t>10/17/1968</t>
  </si>
  <si>
    <t>07/20/1970</t>
  </si>
  <si>
    <t>07/14/1941</t>
  </si>
  <si>
    <t>01/18/1964</t>
  </si>
  <si>
    <t>08/18/1965</t>
  </si>
  <si>
    <t>11/03/1961</t>
  </si>
  <si>
    <t>06/22/1983</t>
  </si>
  <si>
    <t>09/24/1986</t>
  </si>
  <si>
    <t>08/19/1972</t>
  </si>
  <si>
    <t>03/27/1964</t>
  </si>
  <si>
    <t>07/15/1970</t>
  </si>
  <si>
    <t>07/24/1971</t>
  </si>
  <si>
    <t>06/20/1967</t>
  </si>
  <si>
    <t>03/23/1965</t>
  </si>
  <si>
    <t>12/13/1978</t>
  </si>
  <si>
    <t>01/27/1975</t>
  </si>
  <si>
    <t>05/13/1957</t>
  </si>
  <si>
    <t>02/21/1963</t>
  </si>
  <si>
    <t>07/04/1988</t>
  </si>
  <si>
    <t>05/16/1965</t>
  </si>
  <si>
    <t>05/20/1970</t>
  </si>
  <si>
    <t>03/04/1963</t>
  </si>
  <si>
    <t>09/04/1977</t>
  </si>
  <si>
    <t>09/23/1968</t>
  </si>
  <si>
    <t>05/22/1965</t>
  </si>
  <si>
    <t>06/15/1970</t>
  </si>
  <si>
    <t>01/16/1959</t>
  </si>
  <si>
    <t>10/09/1972</t>
  </si>
  <si>
    <t>12/18/1953</t>
  </si>
  <si>
    <t>05/28/1967</t>
  </si>
  <si>
    <t>04/24/1951</t>
  </si>
  <si>
    <t>08/13/1962</t>
  </si>
  <si>
    <t>11/12/1936</t>
  </si>
  <si>
    <t>09/02/1981</t>
  </si>
  <si>
    <t>03/14/1977</t>
  </si>
  <si>
    <t>03/19/1971</t>
  </si>
  <si>
    <t>06/21/1988</t>
  </si>
  <si>
    <t>02/21/1985</t>
  </si>
  <si>
    <t>05/21/1957</t>
  </si>
  <si>
    <t>08/30/1962</t>
  </si>
  <si>
    <t>05/11/1978</t>
  </si>
  <si>
    <t>12/10/1984</t>
  </si>
  <si>
    <t>01/24/1977</t>
  </si>
  <si>
    <t>12/28/1981</t>
  </si>
  <si>
    <t>03/16/1951</t>
  </si>
  <si>
    <t>07/19/1990</t>
  </si>
  <si>
    <t>04/26/1978</t>
  </si>
  <si>
    <t>08/09/1987</t>
  </si>
  <si>
    <t>11/12/1981</t>
  </si>
  <si>
    <t>01/12/1987</t>
  </si>
  <si>
    <t>07/28/1947</t>
  </si>
  <si>
    <t>03/14/1965</t>
  </si>
  <si>
    <t>07/30/1991</t>
  </si>
  <si>
    <t>11/14/1987</t>
  </si>
  <si>
    <t>10/04/1980</t>
  </si>
  <si>
    <t>08/27/1982</t>
  </si>
  <si>
    <t>02/06/1975</t>
  </si>
  <si>
    <t>03/25/1954</t>
  </si>
  <si>
    <t>08/30/1991</t>
  </si>
  <si>
    <t>03/30/1962</t>
  </si>
  <si>
    <t>09/28/2000</t>
  </si>
  <si>
    <t>01/29/1986</t>
  </si>
  <si>
    <t>08/27/1972</t>
  </si>
  <si>
    <t>03/09/1962</t>
  </si>
  <si>
    <t>02/04/1978</t>
  </si>
  <si>
    <t>08/12/1975</t>
  </si>
  <si>
    <t>08/10/1981</t>
  </si>
  <si>
    <t>09/19/1988</t>
  </si>
  <si>
    <t>02/18/1970</t>
  </si>
  <si>
    <t>02/20/1971</t>
  </si>
  <si>
    <t>08/10/1987</t>
  </si>
  <si>
    <t>12/24/1983</t>
  </si>
  <si>
    <t>01/10/1988</t>
  </si>
  <si>
    <t>03/13/1986</t>
  </si>
  <si>
    <t>08/12/1963</t>
  </si>
  <si>
    <t>03/31/1991</t>
  </si>
  <si>
    <t>12/04/1980</t>
  </si>
  <si>
    <t>12/28/1965</t>
  </si>
  <si>
    <t>02/27/1990</t>
  </si>
  <si>
    <t>10/23/1987</t>
  </si>
  <si>
    <t>01/17/1977</t>
  </si>
  <si>
    <t>06/25/1982</t>
  </si>
  <si>
    <t>11/03/1955</t>
  </si>
  <si>
    <t>11/12/1952</t>
  </si>
  <si>
    <t>10/05/1963</t>
  </si>
  <si>
    <t>11/06/1966</t>
  </si>
  <si>
    <t>07/19/1957</t>
  </si>
  <si>
    <t>01/04/1973</t>
  </si>
  <si>
    <t>05/08/1969</t>
  </si>
  <si>
    <t>06/06/1996</t>
  </si>
  <si>
    <t>10/03/1984</t>
  </si>
  <si>
    <t>07/20/1949</t>
  </si>
  <si>
    <t>10/11/1940</t>
  </si>
  <si>
    <t>10/06/1968</t>
  </si>
  <si>
    <t>08/06/1951</t>
  </si>
  <si>
    <t>11/24/1968</t>
  </si>
  <si>
    <t>02/15/1979</t>
  </si>
  <si>
    <t>08/27/1960</t>
  </si>
  <si>
    <t>07/09/1969</t>
  </si>
  <si>
    <t>07/14/1976</t>
  </si>
  <si>
    <t>03/03/1966</t>
  </si>
  <si>
    <t>10/17/1960</t>
  </si>
  <si>
    <t>04/13/1995</t>
  </si>
  <si>
    <t>07/09/1962</t>
  </si>
  <si>
    <t>01/18/1976</t>
  </si>
  <si>
    <t>08/08/1975</t>
  </si>
  <si>
    <t>07/30/1988</t>
  </si>
  <si>
    <t>11/15/1962</t>
  </si>
  <si>
    <t>06/22/1961</t>
  </si>
  <si>
    <t>06/19/1977</t>
  </si>
  <si>
    <t>11/02/1943</t>
  </si>
  <si>
    <t>04/15/1963</t>
  </si>
  <si>
    <t>07/25/1984</t>
  </si>
  <si>
    <t>01/03/1979</t>
  </si>
  <si>
    <t>09/28/1966</t>
  </si>
  <si>
    <t>09/06/1986</t>
  </si>
  <si>
    <t>05/27/1944</t>
  </si>
  <si>
    <t>02/18/1968</t>
  </si>
  <si>
    <t>05/26/1986</t>
  </si>
  <si>
    <t>05/12/1986</t>
  </si>
  <si>
    <t>10/02/1988</t>
  </si>
  <si>
    <t>02/02/1976</t>
  </si>
  <si>
    <t>09/23/1956</t>
  </si>
  <si>
    <t>11/15/1976</t>
  </si>
  <si>
    <t>10/23/1971</t>
  </si>
  <si>
    <t>09/01/1978</t>
  </si>
  <si>
    <t>06/01/1973</t>
  </si>
  <si>
    <t>09/16/1982</t>
  </si>
  <si>
    <t>08/28/1971</t>
  </si>
  <si>
    <t>06/15/1984</t>
  </si>
  <si>
    <t>10/05/1954</t>
  </si>
  <si>
    <t>01/25/1952</t>
  </si>
  <si>
    <t>07/12/1979</t>
  </si>
  <si>
    <t>08/04/1987</t>
  </si>
  <si>
    <t>12/20/1982</t>
  </si>
  <si>
    <t>11/24/1960</t>
  </si>
  <si>
    <t>03/24/1987</t>
  </si>
  <si>
    <t>03/01/1996</t>
  </si>
  <si>
    <t>03/06/1978</t>
  </si>
  <si>
    <t>10/27/1943</t>
  </si>
  <si>
    <t>02/16/1977</t>
  </si>
  <si>
    <t>08/04/1966</t>
  </si>
  <si>
    <t>11/18/1973</t>
  </si>
  <si>
    <t>07/18/1955</t>
  </si>
  <si>
    <t>09/02/1956</t>
  </si>
  <si>
    <t>04/21/1976</t>
  </si>
  <si>
    <t>09/26/1978</t>
  </si>
  <si>
    <t>09/08/1960</t>
  </si>
  <si>
    <t>12/23/1969</t>
  </si>
  <si>
    <t>07/15/1973</t>
  </si>
  <si>
    <t>10/29/1933</t>
  </si>
  <si>
    <t>06/09/1969</t>
  </si>
  <si>
    <t>07/06/1990</t>
  </si>
  <si>
    <t>03/18/1973</t>
  </si>
  <si>
    <t>10/11/1967</t>
  </si>
  <si>
    <t>08/10/1971</t>
  </si>
  <si>
    <t>02/11/1983</t>
  </si>
  <si>
    <t>04/10/1982</t>
  </si>
  <si>
    <t>08/25/1977</t>
  </si>
  <si>
    <t>08/13/1987</t>
  </si>
  <si>
    <t>09/11/1981</t>
  </si>
  <si>
    <t>06/12/1972</t>
  </si>
  <si>
    <t>01/08/1975</t>
  </si>
  <si>
    <t>01/19/1979</t>
  </si>
  <si>
    <t>05/07/1981</t>
  </si>
  <si>
    <t>08/01/1970</t>
  </si>
  <si>
    <t>11/18/1977</t>
  </si>
  <si>
    <t>06/12/1989</t>
  </si>
  <si>
    <t>09/17/1983</t>
  </si>
  <si>
    <t>07/22/1986</t>
  </si>
  <si>
    <t>06/07/1962</t>
  </si>
  <si>
    <t>02/15/1980</t>
  </si>
  <si>
    <t>03/11/1987</t>
  </si>
  <si>
    <t>08/21/1990</t>
  </si>
  <si>
    <t>11/26/1964</t>
  </si>
  <si>
    <t>08/20/1975</t>
  </si>
  <si>
    <t>07/24/1952</t>
  </si>
  <si>
    <t>11/28/1954</t>
  </si>
  <si>
    <t>09/10/1973</t>
  </si>
  <si>
    <t>10/09/1967</t>
  </si>
  <si>
    <t>04/26/1960</t>
  </si>
  <si>
    <t>08/28/1970</t>
  </si>
  <si>
    <t>03/22/1962</t>
  </si>
  <si>
    <t>07/11/1966</t>
  </si>
  <si>
    <t>10/23/1966</t>
  </si>
  <si>
    <t>02/23/1963</t>
  </si>
  <si>
    <t>06/08/1965</t>
  </si>
  <si>
    <t>08/26/1955</t>
  </si>
  <si>
    <t>09/28/1969</t>
  </si>
  <si>
    <t>08/10/1975</t>
  </si>
  <si>
    <t>06/14/1988</t>
  </si>
  <si>
    <t>08/16/1960</t>
  </si>
  <si>
    <t>07/04/1949</t>
  </si>
  <si>
    <t>01/01/1957</t>
  </si>
  <si>
    <t>09/01/1958</t>
  </si>
  <si>
    <t>10/22/1986</t>
  </si>
  <si>
    <t>05/05/1965</t>
  </si>
  <si>
    <t>06/23/1974</t>
  </si>
  <si>
    <t>05/10/1972</t>
  </si>
  <si>
    <t>06/07/1958</t>
  </si>
  <si>
    <t>07/02/1932</t>
  </si>
  <si>
    <t>08/20/1988</t>
  </si>
  <si>
    <t>08/14/1983</t>
  </si>
  <si>
    <t>05/14/1980</t>
  </si>
  <si>
    <t>03/12/1958</t>
  </si>
  <si>
    <t>08/18/1970</t>
  </si>
  <si>
    <t>03/27/1970</t>
  </si>
  <si>
    <t>12/25/1985</t>
  </si>
  <si>
    <t>04/10/1956</t>
  </si>
  <si>
    <t>08/10/1952</t>
  </si>
  <si>
    <t>09/23/1971</t>
  </si>
  <si>
    <t>06/08/1988</t>
  </si>
  <si>
    <t>10/17/1963</t>
  </si>
  <si>
    <t>08/11/1983</t>
  </si>
  <si>
    <t>05/15/1983</t>
  </si>
  <si>
    <t>08/26/1963</t>
  </si>
  <si>
    <t>12/04/1973</t>
  </si>
  <si>
    <t>04/04/1971</t>
  </si>
  <si>
    <t>08/02/1941</t>
  </si>
  <si>
    <t>05/02/1974</t>
  </si>
  <si>
    <t>11/30/1964</t>
  </si>
  <si>
    <t>07/19/1973</t>
  </si>
  <si>
    <t>07/27/1976</t>
  </si>
  <si>
    <t>12/24/1964</t>
  </si>
  <si>
    <t>02/11/1961</t>
  </si>
  <si>
    <t>03/14/1976</t>
  </si>
  <si>
    <t>09/23/1958</t>
  </si>
  <si>
    <t>02/13/1967</t>
  </si>
  <si>
    <t>09/25/1985</t>
  </si>
  <si>
    <t>02/24/1954</t>
  </si>
  <si>
    <t>07/01/1964</t>
  </si>
  <si>
    <t>06/15/1954</t>
  </si>
  <si>
    <t>09/19/1966</t>
  </si>
  <si>
    <t>09/22/1988</t>
  </si>
  <si>
    <t>07/26/1978</t>
  </si>
  <si>
    <t>09/18/1965</t>
  </si>
  <si>
    <t>07/27/1984</t>
  </si>
  <si>
    <t>05/09/1947</t>
  </si>
  <si>
    <t>12/06/1992</t>
  </si>
  <si>
    <t>12/24/1966</t>
  </si>
  <si>
    <t>11/16/1986</t>
  </si>
  <si>
    <t>11/10/2018</t>
  </si>
  <si>
    <t>05/27/1984</t>
  </si>
  <si>
    <t>08/17/1943</t>
  </si>
  <si>
    <t>01/21/1977</t>
  </si>
  <si>
    <t>04/22/1990</t>
  </si>
  <si>
    <t>08/20/1954</t>
  </si>
  <si>
    <t>11/14/1977</t>
  </si>
  <si>
    <t>08/07/1984</t>
  </si>
  <si>
    <t>03/18/1977</t>
  </si>
  <si>
    <t>05/21/1992</t>
  </si>
  <si>
    <t>08/09/1988</t>
  </si>
  <si>
    <t>10/22/1982</t>
  </si>
  <si>
    <t>06/15/1974</t>
  </si>
  <si>
    <t>09/02/1967</t>
  </si>
  <si>
    <t>12/01/1986</t>
  </si>
  <si>
    <t>05/01/1970</t>
  </si>
  <si>
    <t>05/19/1988</t>
  </si>
  <si>
    <t>05/11/1993</t>
  </si>
  <si>
    <t>04/14/1962</t>
  </si>
  <si>
    <t>08/13/1957</t>
  </si>
  <si>
    <t>08/02/1947</t>
  </si>
  <si>
    <t>08/04/1958</t>
  </si>
  <si>
    <t>01/14/1959</t>
  </si>
  <si>
    <t>10/12/1966</t>
  </si>
  <si>
    <t>03/24/1969</t>
  </si>
  <si>
    <t>07/23/1960</t>
  </si>
  <si>
    <t>01/10/1980</t>
  </si>
  <si>
    <t>12/05/1947</t>
  </si>
  <si>
    <t>08/08/1958</t>
  </si>
  <si>
    <t>08/21/1973</t>
  </si>
  <si>
    <t>07/14/1946</t>
  </si>
  <si>
    <t>12/14/1959</t>
  </si>
  <si>
    <t>03/07/1976</t>
  </si>
  <si>
    <t>01/10/1963</t>
  </si>
  <si>
    <t>12/23/1977</t>
  </si>
  <si>
    <t>02/26/1962</t>
  </si>
  <si>
    <t>01/01/1989</t>
  </si>
  <si>
    <t>03/06/1974</t>
  </si>
  <si>
    <t>07/25/1972</t>
  </si>
  <si>
    <t>07/04/1993</t>
  </si>
  <si>
    <t>02/12/1971</t>
  </si>
  <si>
    <t>09/23/1992</t>
  </si>
  <si>
    <t>03/21/1962</t>
  </si>
  <si>
    <t>11/06/1955</t>
  </si>
  <si>
    <t>01/20/2018</t>
  </si>
  <si>
    <t>03/23/1964</t>
  </si>
  <si>
    <t>05/09/1958</t>
  </si>
  <si>
    <t>04/23/1982</t>
  </si>
  <si>
    <t>08/01/1985</t>
  </si>
  <si>
    <t>12/03/1979</t>
  </si>
  <si>
    <t>11/30/1976</t>
  </si>
  <si>
    <t>07/13/1948</t>
  </si>
  <si>
    <t>08/29/1964</t>
  </si>
  <si>
    <t>01/27/1983</t>
  </si>
  <si>
    <t>12/14/1984</t>
  </si>
  <si>
    <t>02/06/1986</t>
  </si>
  <si>
    <t>03/08/1982</t>
  </si>
  <si>
    <t>08/03/1977</t>
  </si>
  <si>
    <t>10/27/2003</t>
  </si>
  <si>
    <t>08/01/1978</t>
  </si>
  <si>
    <t>09/09/1974</t>
  </si>
  <si>
    <t>07/20/1986</t>
  </si>
  <si>
    <t>08/19/1976</t>
  </si>
  <si>
    <t>10/02/1991</t>
  </si>
  <si>
    <t>04/12/1954</t>
  </si>
  <si>
    <t>03/08/1938</t>
  </si>
  <si>
    <t>09/14/1956</t>
  </si>
  <si>
    <t>06/21/1970</t>
  </si>
  <si>
    <t>01/01/1982</t>
  </si>
  <si>
    <t>03/02/1969</t>
  </si>
  <si>
    <t>12/24/1974</t>
  </si>
  <si>
    <t>08/13/1953</t>
  </si>
  <si>
    <t>09/06/1975</t>
  </si>
  <si>
    <t>10/08/1949</t>
  </si>
  <si>
    <t>12/20/1959</t>
  </si>
  <si>
    <t>03/25/1952</t>
  </si>
  <si>
    <t>07/18/1986</t>
  </si>
  <si>
    <t>04/02/1993</t>
  </si>
  <si>
    <t>08/17/1960</t>
  </si>
  <si>
    <t>07/01/1988</t>
  </si>
  <si>
    <t>08/10/1935</t>
  </si>
  <si>
    <t>12/31/1953</t>
  </si>
  <si>
    <t>08/01/1955</t>
  </si>
  <si>
    <t>08/16/1958</t>
  </si>
  <si>
    <t>03/04/1986</t>
  </si>
  <si>
    <t>10/20/1985</t>
  </si>
  <si>
    <t>04/13/1985</t>
  </si>
  <si>
    <t>05/13/1962</t>
  </si>
  <si>
    <t>11/12/1965</t>
  </si>
  <si>
    <t>02/16/1961</t>
  </si>
  <si>
    <t>01/12/1986</t>
  </si>
  <si>
    <t>06/26/1976</t>
  </si>
  <si>
    <t>04/03/1996</t>
  </si>
  <si>
    <t>02/12/1993</t>
  </si>
  <si>
    <t>01/12/1969</t>
  </si>
  <si>
    <t>05/23/1955</t>
  </si>
  <si>
    <t>12/01/1996</t>
  </si>
  <si>
    <t>05/12/1976</t>
  </si>
  <si>
    <t>05/13/1985</t>
  </si>
  <si>
    <t>07/18/1973</t>
  </si>
  <si>
    <t>12/25/1982</t>
  </si>
  <si>
    <t>06/11/1954</t>
  </si>
  <si>
    <t>11/17/1998</t>
  </si>
  <si>
    <t>08/22/1981</t>
  </si>
  <si>
    <t>04/04/1964</t>
  </si>
  <si>
    <t>06/29/1969</t>
  </si>
  <si>
    <t>08/24/1979</t>
  </si>
  <si>
    <t>04/10/1972</t>
  </si>
  <si>
    <t>02/03/1970</t>
  </si>
  <si>
    <t>07/12/1973</t>
  </si>
  <si>
    <t>01/15/1973</t>
  </si>
  <si>
    <t>01/22/1982</t>
  </si>
  <si>
    <t>06/06/1946</t>
  </si>
  <si>
    <t>09/29/1987</t>
  </si>
  <si>
    <t>12/08/1956</t>
  </si>
  <si>
    <t>01/13/1995</t>
  </si>
  <si>
    <t>07/09/1976</t>
  </si>
  <si>
    <t>10/05/1966</t>
  </si>
  <si>
    <t>10/27/1978</t>
  </si>
  <si>
    <t>10/23/1957</t>
  </si>
  <si>
    <t>08/05/1989</t>
  </si>
  <si>
    <t>08/23/1969</t>
  </si>
  <si>
    <t>04/12/1981</t>
  </si>
  <si>
    <t>04/21/1934</t>
  </si>
  <si>
    <t>07/03/1953</t>
  </si>
  <si>
    <t>07/25/1977</t>
  </si>
  <si>
    <t>02/28/1993</t>
  </si>
  <si>
    <t>01/08/1971</t>
  </si>
  <si>
    <t>11/01/1968</t>
  </si>
  <si>
    <t>03/28/1969</t>
  </si>
  <si>
    <t>06/04/1979</t>
  </si>
  <si>
    <t>03/05/1995</t>
  </si>
  <si>
    <t>06/03/1974</t>
  </si>
  <si>
    <t>11/25/1988</t>
  </si>
  <si>
    <t>11/09/1982</t>
  </si>
  <si>
    <t>02/17/1991</t>
  </si>
  <si>
    <t>07/08/1967</t>
  </si>
  <si>
    <t>06/21/1972</t>
  </si>
  <si>
    <t>08/13/1959</t>
  </si>
  <si>
    <t>08/28/1965</t>
  </si>
  <si>
    <t>01/28/1972</t>
  </si>
  <si>
    <t>10/07/1985</t>
  </si>
  <si>
    <t>08/01/1956</t>
  </si>
  <si>
    <t>04/02/1958</t>
  </si>
  <si>
    <t>10/10/1969</t>
  </si>
  <si>
    <t>11/01/1975</t>
  </si>
  <si>
    <t>10/30/1980</t>
  </si>
  <si>
    <t>12/29/1984</t>
  </si>
  <si>
    <t>04/20/1964</t>
  </si>
  <si>
    <t>10/31/1970</t>
  </si>
  <si>
    <t>04/25/1949</t>
  </si>
  <si>
    <t>06/24/1988</t>
  </si>
  <si>
    <t>09/14/1968</t>
  </si>
  <si>
    <t>04/09/1951</t>
  </si>
  <si>
    <t>09/14/1955</t>
  </si>
  <si>
    <t>11/13/1943</t>
  </si>
  <si>
    <t>07/01/1987</t>
  </si>
  <si>
    <t>10/08/1960</t>
  </si>
  <si>
    <t>06/21/1986</t>
  </si>
  <si>
    <t>02/15/1977</t>
  </si>
  <si>
    <t>04/16/1951</t>
  </si>
  <si>
    <t>05/31/1953</t>
  </si>
  <si>
    <t>11/11/1952</t>
  </si>
  <si>
    <t>06/28/1969</t>
  </si>
  <si>
    <t>05/18/1956</t>
  </si>
  <si>
    <t>04/03/1941</t>
  </si>
  <si>
    <t>09/06/1967</t>
  </si>
  <si>
    <t>02/18/1952</t>
  </si>
  <si>
    <t>04/30/1961</t>
  </si>
  <si>
    <t>10/31/1978</t>
  </si>
  <si>
    <t>05/13/1964</t>
  </si>
  <si>
    <t>12/01/1952</t>
  </si>
  <si>
    <t>05/17/1955</t>
  </si>
  <si>
    <t>07/15/1949</t>
  </si>
  <si>
    <t>11/01/2015</t>
  </si>
  <si>
    <t>06/11/1956</t>
  </si>
  <si>
    <t>08/22/1991</t>
  </si>
  <si>
    <t>10/04/1959</t>
  </si>
  <si>
    <t>01/29/1994</t>
  </si>
  <si>
    <t>03/20/1982</t>
  </si>
  <si>
    <t>07/03/1960</t>
  </si>
  <si>
    <t>03/18/1979</t>
  </si>
  <si>
    <t>05/02/1987</t>
  </si>
  <si>
    <t>12/06/1961</t>
  </si>
  <si>
    <t>04/18/1989</t>
  </si>
  <si>
    <t>09/18/1970</t>
  </si>
  <si>
    <t>01/13/1971</t>
  </si>
  <si>
    <t>01/12/1970</t>
  </si>
  <si>
    <t>04/30/1950</t>
  </si>
  <si>
    <t>06/23/1951</t>
  </si>
  <si>
    <t>02/27/1986</t>
  </si>
  <si>
    <t>04/14/1974</t>
  </si>
  <si>
    <t>09/05/1966</t>
  </si>
  <si>
    <t>10/20/1978</t>
  </si>
  <si>
    <t>07/29/1983</t>
  </si>
  <si>
    <t>08/08/1946</t>
  </si>
  <si>
    <t>02/05/1965</t>
  </si>
  <si>
    <t>04/02/1976</t>
  </si>
  <si>
    <t>06/01/1963</t>
  </si>
  <si>
    <t>10/26/1958</t>
  </si>
  <si>
    <t>07/08/1983</t>
  </si>
  <si>
    <t>04/11/1970</t>
  </si>
  <si>
    <t>10/14/1948</t>
  </si>
  <si>
    <t>06/10/1961</t>
  </si>
  <si>
    <t>10/13/1966</t>
  </si>
  <si>
    <t>03/23/1955</t>
  </si>
  <si>
    <t>01/11/1954</t>
  </si>
  <si>
    <t>06/04/1959</t>
  </si>
  <si>
    <t>05/22/1958</t>
  </si>
  <si>
    <t>07/12/1947</t>
  </si>
  <si>
    <t>09/12/1990</t>
  </si>
  <si>
    <t>07/06/1989</t>
  </si>
  <si>
    <t>03/28/1988</t>
  </si>
  <si>
    <t>09/12/1957</t>
  </si>
  <si>
    <t>03/21/1966</t>
  </si>
  <si>
    <t>01/07/1981</t>
  </si>
  <si>
    <t>12/31/1961</t>
  </si>
  <si>
    <t>12/17/1971</t>
  </si>
  <si>
    <t>11/22/1964</t>
  </si>
  <si>
    <t>08/24/1978</t>
  </si>
  <si>
    <t>04/06/1960</t>
  </si>
  <si>
    <t>03/02/1975</t>
  </si>
  <si>
    <t>11/13/1957</t>
  </si>
  <si>
    <t>11/08/1977</t>
  </si>
  <si>
    <t>02/10/1941</t>
  </si>
  <si>
    <t>10/02/1972</t>
  </si>
  <si>
    <t>04/22/1972</t>
  </si>
  <si>
    <t>08/22/1964</t>
  </si>
  <si>
    <t>08/16/1969</t>
  </si>
  <si>
    <t>07/26/1973</t>
  </si>
  <si>
    <t>11/16/1984</t>
  </si>
  <si>
    <t>02/06/1984</t>
  </si>
  <si>
    <t>07/11/1974</t>
  </si>
  <si>
    <t>06/04/1993</t>
  </si>
  <si>
    <t>09/22/1963</t>
  </si>
  <si>
    <t>09/18/1989</t>
  </si>
  <si>
    <t>09/03/1954</t>
  </si>
  <si>
    <t>12/26/1983</t>
  </si>
  <si>
    <t>10/14/1994</t>
  </si>
  <si>
    <t>05/27/1969</t>
  </si>
  <si>
    <t>08/23/1971</t>
  </si>
  <si>
    <t>08/24/1965</t>
  </si>
  <si>
    <t>12/05/1946</t>
  </si>
  <si>
    <t>05/08/1984</t>
  </si>
  <si>
    <t>10/20/1951</t>
  </si>
  <si>
    <t>05/26/1965</t>
  </si>
  <si>
    <t>07/21/1988</t>
  </si>
  <si>
    <t>06/26/1966</t>
  </si>
  <si>
    <t>05/14/1973</t>
  </si>
  <si>
    <t>09/07/1971</t>
  </si>
  <si>
    <t>11/05/1977</t>
  </si>
  <si>
    <t>07/19/1958</t>
  </si>
  <si>
    <t>08/01/1971</t>
  </si>
  <si>
    <t>05/24/1979</t>
  </si>
  <si>
    <t>06/17/1994</t>
  </si>
  <si>
    <t>09/29/1968</t>
  </si>
  <si>
    <t>08/02/1963</t>
  </si>
  <si>
    <t>01/21/1967</t>
  </si>
  <si>
    <t>03/24/1975</t>
  </si>
  <si>
    <t>05/05/1963</t>
  </si>
  <si>
    <t>10/15/1997</t>
  </si>
  <si>
    <t>05/29/1952</t>
  </si>
  <si>
    <t>08/01/1963</t>
  </si>
  <si>
    <t>12/03/1952</t>
  </si>
  <si>
    <t>09/22/1973</t>
  </si>
  <si>
    <t>12/11/1940</t>
  </si>
  <si>
    <t>06/03/1969</t>
  </si>
  <si>
    <t>04/04/1976</t>
  </si>
  <si>
    <t>12/25/1977</t>
  </si>
  <si>
    <t>02/22/1963</t>
  </si>
  <si>
    <t>06/03/1989</t>
  </si>
  <si>
    <t>07/10/1968</t>
  </si>
  <si>
    <t>08/18/1981</t>
  </si>
  <si>
    <t>08/12/1984</t>
  </si>
  <si>
    <t>12/04/1978</t>
  </si>
  <si>
    <t>05/27/1962</t>
  </si>
  <si>
    <t>10/16/1968</t>
  </si>
  <si>
    <t>02/25/1967</t>
  </si>
  <si>
    <t>12/15/1976</t>
  </si>
  <si>
    <t>06/20/1961</t>
  </si>
  <si>
    <t>09/25/1970</t>
  </si>
  <si>
    <t>11/09/1972</t>
  </si>
  <si>
    <t>06/25/1990</t>
  </si>
  <si>
    <t>01/15/1986</t>
  </si>
  <si>
    <t>10/30/1979</t>
  </si>
  <si>
    <t>01/21/1966</t>
  </si>
  <si>
    <t>06/07/1985</t>
  </si>
  <si>
    <t>09/02/1988</t>
  </si>
  <si>
    <t>05/10/1965</t>
  </si>
  <si>
    <t>09/26/1991</t>
  </si>
  <si>
    <t>03/23/1957</t>
  </si>
  <si>
    <t>03/06/1977</t>
  </si>
  <si>
    <t>03/30/1975</t>
  </si>
  <si>
    <t>07/03/1989</t>
  </si>
  <si>
    <t>07/13/1969</t>
  </si>
  <si>
    <t>11/19/1993</t>
  </si>
  <si>
    <t>06/02/1956</t>
  </si>
  <si>
    <t>06/18/1979</t>
  </si>
  <si>
    <t>10/11/1983</t>
  </si>
  <si>
    <t>11/15/1992</t>
  </si>
  <si>
    <t>09/09/1977</t>
  </si>
  <si>
    <t>10/27/1987</t>
  </si>
  <si>
    <t>07/18/1985</t>
  </si>
  <si>
    <t>04/28/1985</t>
  </si>
  <si>
    <t>08/13/1981</t>
  </si>
  <si>
    <t>05/15/1979</t>
  </si>
  <si>
    <t>11/10/1979</t>
  </si>
  <si>
    <t>03/24/1988</t>
  </si>
  <si>
    <t>03/13/1963</t>
  </si>
  <si>
    <t>12/31/1980</t>
  </si>
  <si>
    <t>05/25/1991</t>
  </si>
  <si>
    <t>11/04/1983</t>
  </si>
  <si>
    <t>06/12/1978</t>
  </si>
  <si>
    <t>11/28/1956</t>
  </si>
  <si>
    <t>06/01/1975</t>
  </si>
  <si>
    <t>08/15/1977</t>
  </si>
  <si>
    <t>08/15/1964</t>
  </si>
  <si>
    <t>02/14/1989</t>
  </si>
  <si>
    <t>03/05/1965</t>
  </si>
  <si>
    <t>09/15/1950</t>
  </si>
  <si>
    <t>08/05/1974</t>
  </si>
  <si>
    <t>06/29/1989</t>
  </si>
  <si>
    <t>03/26/1954</t>
  </si>
  <si>
    <t>07/27/1981</t>
  </si>
  <si>
    <t>01/25/1958</t>
  </si>
  <si>
    <t>12/04/1983</t>
  </si>
  <si>
    <t>05/12/1984</t>
  </si>
  <si>
    <t>08/12/1937</t>
  </si>
  <si>
    <t>12/10/1997</t>
  </si>
  <si>
    <t>07/24/1967</t>
  </si>
  <si>
    <t>02/01/1977</t>
  </si>
  <si>
    <t>03/21/1953</t>
  </si>
  <si>
    <t>07/20/1963</t>
  </si>
  <si>
    <t>09/26/1996</t>
  </si>
  <si>
    <t>01/19/1983</t>
  </si>
  <si>
    <t>10/22/1978</t>
  </si>
  <si>
    <t>09/24/1961</t>
  </si>
  <si>
    <t>02/16/1956</t>
  </si>
  <si>
    <t>01/08/1981</t>
  </si>
  <si>
    <t>06/28/1977</t>
  </si>
  <si>
    <t>09/19/1991</t>
  </si>
  <si>
    <t>08/18/1989</t>
  </si>
  <si>
    <t>08/16/1951</t>
  </si>
  <si>
    <t>10/31/1980</t>
  </si>
  <si>
    <t>05/19/1968</t>
  </si>
  <si>
    <t>10/24/1980</t>
  </si>
  <si>
    <t>11/07/1983</t>
  </si>
  <si>
    <t>02/05/1979</t>
  </si>
  <si>
    <t>02/22/1960</t>
  </si>
  <si>
    <t>03/31/1996</t>
  </si>
  <si>
    <t>10/24/1984</t>
  </si>
  <si>
    <t>07/05/1964</t>
  </si>
  <si>
    <t>03/16/1977</t>
  </si>
  <si>
    <t>01/15/1961</t>
  </si>
  <si>
    <t>05/27/1992</t>
  </si>
  <si>
    <t>03/11/1966</t>
  </si>
  <si>
    <t>11/06/1969</t>
  </si>
  <si>
    <t>01/14/1978</t>
  </si>
  <si>
    <t>05/27/1966</t>
  </si>
  <si>
    <t>06/23/1963</t>
  </si>
  <si>
    <t>11/07/1959</t>
  </si>
  <si>
    <t>06/04/1982</t>
  </si>
  <si>
    <t>07/28/1948</t>
  </si>
  <si>
    <t>02/11/1958</t>
  </si>
  <si>
    <t>01/26/1981</t>
  </si>
  <si>
    <t>10/25/1964</t>
  </si>
  <si>
    <t>03/04/1954</t>
  </si>
  <si>
    <t>04/01/1970</t>
  </si>
  <si>
    <t>06/16/1943</t>
  </si>
  <si>
    <t>01/16/1975</t>
  </si>
  <si>
    <t>04/15/1973</t>
  </si>
  <si>
    <t>05/26/1972</t>
  </si>
  <si>
    <t>08/28/1984</t>
  </si>
  <si>
    <t>06/07/1981</t>
  </si>
  <si>
    <t>03/17/1958</t>
  </si>
  <si>
    <t>01/12/1972</t>
  </si>
  <si>
    <t>06/27/1970</t>
  </si>
  <si>
    <t>09/17/1951</t>
  </si>
  <si>
    <t>11/29/1965</t>
  </si>
  <si>
    <t>01/08/1988</t>
  </si>
  <si>
    <t>06/02/1973</t>
  </si>
  <si>
    <t>03/01/1983</t>
  </si>
  <si>
    <t>11/26/1978</t>
  </si>
  <si>
    <t>05/08/1987</t>
  </si>
  <si>
    <t>11/10/1980</t>
  </si>
  <si>
    <t>07/23/1952</t>
  </si>
  <si>
    <t>07/28/1970</t>
  </si>
  <si>
    <t>06/08/1969</t>
  </si>
  <si>
    <t>018351624E</t>
  </si>
  <si>
    <t>007040459F</t>
  </si>
  <si>
    <t>0035193342J</t>
  </si>
  <si>
    <t>00184366707I</t>
  </si>
  <si>
    <t>037009356J</t>
  </si>
  <si>
    <t>016535209H</t>
  </si>
  <si>
    <t>007514148B</t>
  </si>
  <si>
    <t>0011894060A</t>
  </si>
  <si>
    <t>010303554J</t>
  </si>
  <si>
    <t>00037566763B</t>
  </si>
  <si>
    <t>000-00-0000</t>
  </si>
  <si>
    <t>037117331B</t>
  </si>
  <si>
    <t>000938958G</t>
  </si>
  <si>
    <t>000874283F</t>
  </si>
  <si>
    <t>009948568C</t>
  </si>
  <si>
    <t>018504672J</t>
  </si>
  <si>
    <t>001737270H</t>
  </si>
  <si>
    <t>2098456D</t>
  </si>
  <si>
    <t>004745423g</t>
  </si>
  <si>
    <t>017829404H</t>
  </si>
  <si>
    <t>008808843A</t>
  </si>
  <si>
    <t>008330042G</t>
  </si>
  <si>
    <t>018418192D</t>
  </si>
  <si>
    <t>006909998E</t>
  </si>
  <si>
    <t>017281925C</t>
  </si>
  <si>
    <t>008257557C</t>
  </si>
  <si>
    <t>03762315E</t>
  </si>
  <si>
    <t>017882532J</t>
  </si>
  <si>
    <t>0086142387J</t>
  </si>
  <si>
    <t>17967844g</t>
  </si>
  <si>
    <t>010638052A</t>
  </si>
  <si>
    <t>35493994E</t>
  </si>
  <si>
    <t>014551853G</t>
  </si>
  <si>
    <t>003376334D</t>
  </si>
  <si>
    <t>37098431C</t>
  </si>
  <si>
    <t>005674131h</t>
  </si>
  <si>
    <t>000798165H</t>
  </si>
  <si>
    <t>7561912C</t>
  </si>
  <si>
    <t>004460725H</t>
  </si>
  <si>
    <t>37258387C</t>
  </si>
  <si>
    <t>003224399A</t>
  </si>
  <si>
    <t>00037459113J</t>
  </si>
  <si>
    <t>16030215e</t>
  </si>
  <si>
    <t>004149428h</t>
  </si>
  <si>
    <t>0011529406I</t>
  </si>
  <si>
    <t>37802767G-1</t>
  </si>
  <si>
    <t>037432284A</t>
  </si>
  <si>
    <t>LT-67913-18/QU</t>
  </si>
  <si>
    <t>37273570E</t>
  </si>
  <si>
    <t>001553752f</t>
  </si>
  <si>
    <t>0037401752D</t>
  </si>
  <si>
    <t>011141546J</t>
  </si>
  <si>
    <t>005993149D</t>
  </si>
  <si>
    <t>018295732I</t>
  </si>
  <si>
    <t>018476393G</t>
  </si>
  <si>
    <t>010921640I</t>
  </si>
  <si>
    <t>008534299G</t>
  </si>
  <si>
    <t>033684292H</t>
  </si>
  <si>
    <t>006563731G</t>
  </si>
  <si>
    <t>036972500H</t>
  </si>
  <si>
    <t>000-000-000</t>
  </si>
  <si>
    <t>018266737I</t>
  </si>
  <si>
    <t>015470836G</t>
  </si>
  <si>
    <t>8095559E</t>
  </si>
  <si>
    <t>037513037E</t>
  </si>
  <si>
    <t>037392523J</t>
  </si>
  <si>
    <t>036955364J</t>
  </si>
  <si>
    <t>031651546J</t>
  </si>
  <si>
    <t>011867825J</t>
  </si>
  <si>
    <t>011072346H</t>
  </si>
  <si>
    <t>03333910E</t>
  </si>
  <si>
    <t>00037225893J</t>
  </si>
  <si>
    <t>001963752J</t>
  </si>
  <si>
    <t>011173905I</t>
  </si>
  <si>
    <t>003014809C</t>
  </si>
  <si>
    <t>018198715H</t>
  </si>
  <si>
    <t>013039557H</t>
  </si>
  <si>
    <t>004925656D</t>
  </si>
  <si>
    <t>00037536361B</t>
  </si>
  <si>
    <t>009017232B</t>
  </si>
  <si>
    <t>036892040B</t>
  </si>
  <si>
    <t>018420802D</t>
  </si>
  <si>
    <t>002178304I</t>
  </si>
  <si>
    <t>004280726D</t>
  </si>
  <si>
    <t>013316969I</t>
  </si>
  <si>
    <t>016141953G</t>
  </si>
  <si>
    <t>010845342E</t>
  </si>
  <si>
    <t>037520160F</t>
  </si>
  <si>
    <t>018613401B</t>
  </si>
  <si>
    <t>0012363994A</t>
  </si>
  <si>
    <t>009676933G</t>
  </si>
  <si>
    <t>05943102D</t>
  </si>
  <si>
    <t>006601754C</t>
  </si>
  <si>
    <t>037561033E</t>
  </si>
  <si>
    <t>012360845H</t>
  </si>
  <si>
    <t>0019720813F</t>
  </si>
  <si>
    <t>005882969I</t>
  </si>
  <si>
    <t>001071251B</t>
  </si>
  <si>
    <t>016546742E</t>
  </si>
  <si>
    <t>012858554E</t>
  </si>
  <si>
    <t>035845196B</t>
  </si>
  <si>
    <t>037093357E</t>
  </si>
  <si>
    <t>00012995780J</t>
  </si>
  <si>
    <t>007198995I</t>
  </si>
  <si>
    <t>006370175J</t>
  </si>
  <si>
    <t>037440181I</t>
  </si>
  <si>
    <t>011799992A</t>
  </si>
  <si>
    <t>005737624G</t>
  </si>
  <si>
    <t>010835560D</t>
  </si>
  <si>
    <t>051660393I</t>
  </si>
  <si>
    <t>037470731E</t>
  </si>
  <si>
    <t>006822218B</t>
  </si>
  <si>
    <t>000661769A</t>
  </si>
  <si>
    <t>004841408A</t>
  </si>
  <si>
    <t>006976319B</t>
  </si>
  <si>
    <t>036965788H</t>
  </si>
  <si>
    <t>006422457J</t>
  </si>
  <si>
    <t>001216340I</t>
  </si>
  <si>
    <t>001990603B</t>
  </si>
  <si>
    <t>012829332B</t>
  </si>
  <si>
    <t>016206770G</t>
  </si>
  <si>
    <t>006583847G</t>
  </si>
  <si>
    <t>037229838A</t>
  </si>
  <si>
    <t>018500425G</t>
  </si>
  <si>
    <t>003551486I</t>
  </si>
  <si>
    <t>012581685A</t>
  </si>
  <si>
    <t>006365749I</t>
  </si>
  <si>
    <t>012538854G</t>
  </si>
  <si>
    <t>011118973E</t>
  </si>
  <si>
    <t>005342501D</t>
  </si>
  <si>
    <t>010847981H</t>
  </si>
  <si>
    <t>033753402I</t>
  </si>
  <si>
    <t>006561336G</t>
  </si>
  <si>
    <t>010952995I</t>
  </si>
  <si>
    <t>034689634D</t>
  </si>
  <si>
    <t>00003249439F</t>
  </si>
  <si>
    <t>026969526I</t>
  </si>
  <si>
    <t>004279893E</t>
  </si>
  <si>
    <t>00013455236D</t>
  </si>
  <si>
    <t>037509948I</t>
  </si>
  <si>
    <t>013740035E</t>
  </si>
  <si>
    <t>00009841292H</t>
  </si>
  <si>
    <t>009976066C</t>
  </si>
  <si>
    <t>00000307036E</t>
  </si>
  <si>
    <t>016881232J</t>
  </si>
  <si>
    <t>017801745F</t>
  </si>
  <si>
    <t>0515656819i</t>
  </si>
  <si>
    <t>0030197020I</t>
  </si>
  <si>
    <t>009743607F</t>
  </si>
  <si>
    <t>008437402E</t>
  </si>
  <si>
    <t>QP55102Y</t>
  </si>
  <si>
    <t>00018379717E</t>
  </si>
  <si>
    <t>0037265805E</t>
  </si>
  <si>
    <t>011294031H</t>
  </si>
  <si>
    <t>012505734J</t>
  </si>
  <si>
    <t>018398781H</t>
  </si>
  <si>
    <t>03523053C</t>
  </si>
  <si>
    <t>018696606F</t>
  </si>
  <si>
    <t>006367239I</t>
  </si>
  <si>
    <t>009024478B</t>
  </si>
  <si>
    <t>see DHCI</t>
  </si>
  <si>
    <t>01591953C</t>
  </si>
  <si>
    <t>036937558J</t>
  </si>
  <si>
    <t>032207220I</t>
  </si>
  <si>
    <t>037444831E</t>
  </si>
  <si>
    <t>018198487D</t>
  </si>
  <si>
    <t>011228193G</t>
  </si>
  <si>
    <t>9956480099J</t>
  </si>
  <si>
    <t>007610984C</t>
  </si>
  <si>
    <t>037632795D</t>
  </si>
  <si>
    <t>006637485B</t>
  </si>
  <si>
    <t>007275002J</t>
  </si>
  <si>
    <t>015652785F</t>
  </si>
  <si>
    <t>017664528B</t>
  </si>
  <si>
    <t>08306736D</t>
  </si>
  <si>
    <t>018402280E</t>
  </si>
  <si>
    <t>037514505J</t>
  </si>
  <si>
    <t>012854577J</t>
  </si>
  <si>
    <t>009202656G</t>
  </si>
  <si>
    <t>032258713A</t>
  </si>
  <si>
    <t>001455272D</t>
  </si>
  <si>
    <t>013213305J</t>
  </si>
  <si>
    <t>000381258D</t>
  </si>
  <si>
    <t>037021174A</t>
  </si>
  <si>
    <t>018429550J</t>
  </si>
  <si>
    <t>011234331E</t>
  </si>
  <si>
    <t>018242507E</t>
  </si>
  <si>
    <t>012840075B</t>
  </si>
  <si>
    <t>010786056B</t>
  </si>
  <si>
    <t>018542586F</t>
  </si>
  <si>
    <t>037357674D</t>
  </si>
  <si>
    <t>015492291I</t>
  </si>
  <si>
    <t>013814049G</t>
  </si>
  <si>
    <t>010138507I</t>
  </si>
  <si>
    <t>004392293J</t>
  </si>
  <si>
    <t>034650303A</t>
  </si>
  <si>
    <t>010436684E</t>
  </si>
  <si>
    <t>014811914C</t>
  </si>
  <si>
    <t>010167495A</t>
  </si>
  <si>
    <t>013584984C</t>
  </si>
  <si>
    <t>004880625B</t>
  </si>
  <si>
    <t>018366284A</t>
  </si>
  <si>
    <t>011954709J</t>
  </si>
  <si>
    <t>17854208A</t>
  </si>
  <si>
    <t>037306859C</t>
  </si>
  <si>
    <t>018183676I</t>
  </si>
  <si>
    <t>016421831F</t>
  </si>
  <si>
    <t>00958451A</t>
  </si>
  <si>
    <t>017831897I</t>
  </si>
  <si>
    <t>018034551E</t>
  </si>
  <si>
    <t>011770187A</t>
  </si>
  <si>
    <t>035292046G</t>
  </si>
  <si>
    <t>005208799G</t>
  </si>
  <si>
    <t>003984288F</t>
  </si>
  <si>
    <t>017738467E</t>
  </si>
  <si>
    <t>004174774C</t>
  </si>
  <si>
    <t>037419693J</t>
  </si>
  <si>
    <t>015680685D</t>
  </si>
  <si>
    <t>00037212009H</t>
  </si>
  <si>
    <t>003959317D</t>
  </si>
  <si>
    <t>018155124D</t>
  </si>
  <si>
    <t>000167220D</t>
  </si>
  <si>
    <t>012355234B</t>
  </si>
  <si>
    <t>018243637I</t>
  </si>
  <si>
    <t>018364964J</t>
  </si>
  <si>
    <t>017644835F</t>
  </si>
  <si>
    <t>009798803E</t>
  </si>
  <si>
    <t>003058138D</t>
  </si>
  <si>
    <t>037124864C</t>
  </si>
  <si>
    <t>014212371A</t>
  </si>
  <si>
    <t>014777220G</t>
  </si>
  <si>
    <t>015389271G</t>
  </si>
  <si>
    <t>008759142G</t>
  </si>
  <si>
    <t>037339943F</t>
  </si>
  <si>
    <t>018330711F</t>
  </si>
  <si>
    <t>006057001H</t>
  </si>
  <si>
    <t>007486771E</t>
  </si>
  <si>
    <t>036861897B</t>
  </si>
  <si>
    <t>033204723C</t>
  </si>
  <si>
    <t>015534694D</t>
  </si>
  <si>
    <t>0034927804E</t>
  </si>
  <si>
    <t>00037497698D</t>
  </si>
  <si>
    <t>015292271C</t>
  </si>
  <si>
    <t>081214202G</t>
  </si>
  <si>
    <t>36930653F</t>
  </si>
  <si>
    <t>008298364E</t>
  </si>
  <si>
    <t>000657613G</t>
  </si>
  <si>
    <t>018423603C</t>
  </si>
  <si>
    <t>000000000000</t>
  </si>
  <si>
    <t>036929292F</t>
  </si>
  <si>
    <t>00715955B</t>
  </si>
  <si>
    <t>034344425D</t>
  </si>
  <si>
    <t>0069996297F</t>
  </si>
  <si>
    <t>009198736C</t>
  </si>
  <si>
    <t>017987191I</t>
  </si>
  <si>
    <t>08963281E</t>
  </si>
  <si>
    <t>Not on PA</t>
  </si>
  <si>
    <t>005495847F</t>
  </si>
  <si>
    <t>003901533E</t>
  </si>
  <si>
    <t>YX01304A</t>
  </si>
  <si>
    <t>007224143D</t>
  </si>
  <si>
    <t>037279745G</t>
  </si>
  <si>
    <t>014934740D</t>
  </si>
  <si>
    <t>006994211I</t>
  </si>
  <si>
    <t>018289552E</t>
  </si>
  <si>
    <t>01310530I</t>
  </si>
  <si>
    <t>008391564F</t>
  </si>
  <si>
    <t>018339342A</t>
  </si>
  <si>
    <t>015114542C</t>
  </si>
  <si>
    <t>011832700G</t>
  </si>
  <si>
    <t>018467060C</t>
  </si>
  <si>
    <t>008107165G</t>
  </si>
  <si>
    <t>017960840B</t>
  </si>
  <si>
    <t>004801450A</t>
  </si>
  <si>
    <t>003138885D</t>
  </si>
  <si>
    <t>18-1874885</t>
  </si>
  <si>
    <t>0369086C</t>
  </si>
  <si>
    <t>035567762G</t>
  </si>
  <si>
    <t>010805220A</t>
  </si>
  <si>
    <t>014498931G</t>
  </si>
  <si>
    <t>037308386E</t>
  </si>
  <si>
    <t>005465687B</t>
  </si>
  <si>
    <t>090362652B</t>
  </si>
  <si>
    <t>08952769B</t>
  </si>
  <si>
    <t>005668458C</t>
  </si>
  <si>
    <t>007358873D</t>
  </si>
  <si>
    <t>007257771B</t>
  </si>
  <si>
    <t>012221787A</t>
  </si>
  <si>
    <t>10934456E</t>
  </si>
  <si>
    <t>6004868927312427544</t>
  </si>
  <si>
    <t>010164383B</t>
  </si>
  <si>
    <t>012703662C</t>
  </si>
  <si>
    <t>00012074533G</t>
  </si>
  <si>
    <t>017985846J</t>
  </si>
  <si>
    <t>05955225H</t>
  </si>
  <si>
    <t>07222783I</t>
  </si>
  <si>
    <t>00003368626C</t>
  </si>
  <si>
    <t>009145052I</t>
  </si>
  <si>
    <t>081117276I</t>
  </si>
  <si>
    <t>037247274G</t>
  </si>
  <si>
    <t>006782006I</t>
  </si>
  <si>
    <t>18313267J</t>
  </si>
  <si>
    <t>037176449J</t>
  </si>
  <si>
    <t>036526844A</t>
  </si>
  <si>
    <t>037277809C</t>
  </si>
  <si>
    <t>035522814J</t>
  </si>
  <si>
    <t>037143619H</t>
  </si>
  <si>
    <t>013502247D</t>
  </si>
  <si>
    <t>011837580H</t>
  </si>
  <si>
    <t>030590978A</t>
  </si>
  <si>
    <t>012560205C</t>
  </si>
  <si>
    <t>005591562D</t>
  </si>
  <si>
    <t>011635535F</t>
  </si>
  <si>
    <t>081232181A</t>
  </si>
  <si>
    <t>037317791E</t>
  </si>
  <si>
    <t>018333563H</t>
  </si>
  <si>
    <t>015962346B</t>
  </si>
  <si>
    <t>036278860G</t>
  </si>
  <si>
    <t>008906280G</t>
  </si>
  <si>
    <t>013171942J</t>
  </si>
  <si>
    <t>015737047J</t>
  </si>
  <si>
    <t>007198027A</t>
  </si>
  <si>
    <t>001314878I</t>
  </si>
  <si>
    <t>016211262H</t>
  </si>
  <si>
    <t>037935024c</t>
  </si>
  <si>
    <t>010877497H</t>
  </si>
  <si>
    <t>012932329B</t>
  </si>
  <si>
    <t>017741437C</t>
  </si>
  <si>
    <t>012533409E</t>
  </si>
  <si>
    <t>02230795D</t>
  </si>
  <si>
    <t>037690540C</t>
  </si>
  <si>
    <t>032792272A</t>
  </si>
  <si>
    <t>018561184F</t>
  </si>
  <si>
    <t>018042197G</t>
  </si>
  <si>
    <t>018537165F</t>
  </si>
  <si>
    <t>007802325G</t>
  </si>
  <si>
    <t>037543913A</t>
  </si>
  <si>
    <t>37341014B</t>
  </si>
  <si>
    <t>037233016H</t>
  </si>
  <si>
    <t>009919322J</t>
  </si>
  <si>
    <t>000931032H</t>
  </si>
  <si>
    <t>000005288G</t>
  </si>
  <si>
    <t>037333560D</t>
  </si>
  <si>
    <t>009238158B</t>
  </si>
  <si>
    <t>006845190F</t>
  </si>
  <si>
    <t>37385543G</t>
  </si>
  <si>
    <t>017990066H</t>
  </si>
  <si>
    <t>012453213G</t>
  </si>
  <si>
    <t>005545003F</t>
  </si>
  <si>
    <t>01186149I</t>
  </si>
  <si>
    <t>005929681E</t>
  </si>
  <si>
    <t>010549201B</t>
  </si>
  <si>
    <t>018386445D</t>
  </si>
  <si>
    <t>037431786F</t>
  </si>
  <si>
    <t>032224850B</t>
  </si>
  <si>
    <t>037064361B</t>
  </si>
  <si>
    <t>018334826H</t>
  </si>
  <si>
    <t>037538126G</t>
  </si>
  <si>
    <t>036946426I</t>
  </si>
  <si>
    <t>002154722J</t>
  </si>
  <si>
    <t>7218340D</t>
  </si>
  <si>
    <t>00031015B</t>
  </si>
  <si>
    <t>011207793I</t>
  </si>
  <si>
    <t>005880083A</t>
  </si>
  <si>
    <t>002558631E</t>
  </si>
  <si>
    <t>006647059C</t>
  </si>
  <si>
    <t>6004868121233946226</t>
  </si>
  <si>
    <t>017067925C</t>
  </si>
  <si>
    <t>015365085I</t>
  </si>
  <si>
    <t>016880330C</t>
  </si>
  <si>
    <t>013445334J</t>
  </si>
  <si>
    <t>015048452F</t>
  </si>
  <si>
    <t>030140082G</t>
  </si>
  <si>
    <t>014860774A</t>
  </si>
  <si>
    <t>005191997F</t>
  </si>
  <si>
    <t>017847463B</t>
  </si>
  <si>
    <t>015810620D</t>
  </si>
  <si>
    <t>007780847F</t>
  </si>
  <si>
    <t>018422428F</t>
  </si>
  <si>
    <t>010894915H</t>
  </si>
  <si>
    <t>10009855H</t>
  </si>
  <si>
    <t>011209289F</t>
  </si>
  <si>
    <t>005127913B</t>
  </si>
  <si>
    <t>0012469943A</t>
  </si>
  <si>
    <t>003608543J</t>
  </si>
  <si>
    <t>016601168E</t>
  </si>
  <si>
    <t>00037311548E</t>
  </si>
  <si>
    <t>00031715242J</t>
  </si>
  <si>
    <t>005120509E</t>
  </si>
  <si>
    <t>018135135E</t>
  </si>
  <si>
    <t>003067905E</t>
  </si>
  <si>
    <t>011962941I</t>
  </si>
  <si>
    <t>00009085227I</t>
  </si>
  <si>
    <t>014268021E</t>
  </si>
  <si>
    <t>001588705C</t>
  </si>
  <si>
    <t>001638054F</t>
  </si>
  <si>
    <t>032378295C</t>
  </si>
  <si>
    <t>017837365H</t>
  </si>
  <si>
    <t>037413416B</t>
  </si>
  <si>
    <t>011075608H</t>
  </si>
  <si>
    <t>008923344J</t>
  </si>
  <si>
    <t>012816748D</t>
  </si>
  <si>
    <t>012396049E</t>
  </si>
  <si>
    <t>009309181H</t>
  </si>
  <si>
    <t>008910879J</t>
  </si>
  <si>
    <t>009640815I</t>
  </si>
  <si>
    <t>336369566G</t>
  </si>
  <si>
    <t>017899885C</t>
  </si>
  <si>
    <t>06819847C</t>
  </si>
  <si>
    <t>006458495G</t>
  </si>
  <si>
    <t>3271908A</t>
  </si>
  <si>
    <t>018480213A</t>
  </si>
  <si>
    <t>035509518D</t>
  </si>
  <si>
    <t>016362751G</t>
  </si>
  <si>
    <t>006540489J</t>
  </si>
  <si>
    <t>013620023F</t>
  </si>
  <si>
    <t>0172145537H</t>
  </si>
  <si>
    <t>001017749B</t>
  </si>
  <si>
    <t>014977005J</t>
  </si>
  <si>
    <t>018102119H</t>
  </si>
  <si>
    <t>018602407B</t>
  </si>
  <si>
    <t>00663821B</t>
  </si>
  <si>
    <t>015403000B</t>
  </si>
  <si>
    <t>036922814D</t>
  </si>
  <si>
    <t>017605856I</t>
  </si>
  <si>
    <t>014969032D</t>
  </si>
  <si>
    <t>035514484B</t>
  </si>
  <si>
    <t>034927804E</t>
  </si>
  <si>
    <t>013941130J</t>
  </si>
  <si>
    <t>017867122I</t>
  </si>
  <si>
    <t>018322875I</t>
  </si>
  <si>
    <t>016758279A</t>
  </si>
  <si>
    <t>01842376D</t>
  </si>
  <si>
    <t>005864811E</t>
  </si>
  <si>
    <t>030282270F</t>
  </si>
  <si>
    <t>036889244E</t>
  </si>
  <si>
    <t>037253910G</t>
  </si>
  <si>
    <t>008322266B</t>
  </si>
  <si>
    <t>004409603A</t>
  </si>
  <si>
    <t>014772310A</t>
  </si>
  <si>
    <t>018295906E</t>
  </si>
  <si>
    <t>016931424C</t>
  </si>
  <si>
    <t>014395321E</t>
  </si>
  <si>
    <t>013274982B</t>
  </si>
  <si>
    <t>013526034H</t>
  </si>
  <si>
    <t>036426379I</t>
  </si>
  <si>
    <t>036816862B</t>
  </si>
  <si>
    <t>006389118I</t>
  </si>
  <si>
    <t>037349704J</t>
  </si>
  <si>
    <t>030411967A</t>
  </si>
  <si>
    <t>037481851G</t>
  </si>
  <si>
    <t>014300210D</t>
  </si>
  <si>
    <t>017612946I</t>
  </si>
  <si>
    <t>05566824I</t>
  </si>
  <si>
    <t>036827707F</t>
  </si>
  <si>
    <t>010517867H</t>
  </si>
  <si>
    <t>009104423A</t>
  </si>
  <si>
    <t>07189424A</t>
  </si>
  <si>
    <t>011766500A</t>
  </si>
  <si>
    <t>035438342E</t>
  </si>
  <si>
    <t>016538949F</t>
  </si>
  <si>
    <t>010088056G</t>
  </si>
  <si>
    <t>005943102D</t>
  </si>
  <si>
    <t>005618684E</t>
  </si>
  <si>
    <t>012402684A</t>
  </si>
  <si>
    <t>05107561C</t>
  </si>
  <si>
    <t>008524327H</t>
  </si>
  <si>
    <t>009039690E</t>
  </si>
  <si>
    <t>014782167C</t>
  </si>
  <si>
    <t>012321510F</t>
  </si>
  <si>
    <t>019688813F</t>
  </si>
  <si>
    <t>037369012C</t>
  </si>
  <si>
    <t>005927309E</t>
  </si>
  <si>
    <t>037162603H</t>
  </si>
  <si>
    <t>006267379D</t>
  </si>
  <si>
    <t>037363550H</t>
  </si>
  <si>
    <t>014947641I</t>
  </si>
  <si>
    <t>018545537F</t>
  </si>
  <si>
    <t>0128581493C</t>
  </si>
  <si>
    <t>018555297D</t>
  </si>
  <si>
    <t>008065482F</t>
  </si>
  <si>
    <t>001640994I</t>
  </si>
  <si>
    <t>009637380I</t>
  </si>
  <si>
    <t>002869370D</t>
  </si>
  <si>
    <t>017607242J</t>
  </si>
  <si>
    <t>016406411F</t>
  </si>
  <si>
    <t>03764815D</t>
  </si>
  <si>
    <t>004434262E</t>
  </si>
  <si>
    <t>005566824I</t>
  </si>
  <si>
    <t>015366392H</t>
  </si>
  <si>
    <t>06530250H</t>
  </si>
  <si>
    <t>004758214D</t>
  </si>
  <si>
    <t>007743817E</t>
  </si>
  <si>
    <t>011798484J</t>
  </si>
  <si>
    <t>00037544869D</t>
  </si>
  <si>
    <t>033550316F</t>
  </si>
  <si>
    <t>011520294H</t>
  </si>
  <si>
    <t>016211260B</t>
  </si>
  <si>
    <t>018370441A</t>
  </si>
  <si>
    <t>015020233B</t>
  </si>
  <si>
    <t>015658305G</t>
  </si>
  <si>
    <t>011984711J</t>
  </si>
  <si>
    <t>KV07958X</t>
  </si>
  <si>
    <t>009019772E</t>
  </si>
  <si>
    <t>00687487F</t>
  </si>
  <si>
    <t>018161776C</t>
  </si>
  <si>
    <t>010544427H</t>
  </si>
  <si>
    <t>0374509A</t>
  </si>
  <si>
    <t>005763015E</t>
  </si>
  <si>
    <t>031003426J</t>
  </si>
  <si>
    <t>008876568A</t>
  </si>
  <si>
    <t>04927767G</t>
  </si>
  <si>
    <t>037509704F</t>
  </si>
  <si>
    <t>00518766B</t>
  </si>
  <si>
    <t>02653467H</t>
  </si>
  <si>
    <t>014269849H</t>
  </si>
  <si>
    <t>010593597H</t>
  </si>
  <si>
    <t>5565453H</t>
  </si>
  <si>
    <t>007724914C</t>
  </si>
  <si>
    <t>036850918I</t>
  </si>
  <si>
    <t>012794527H</t>
  </si>
  <si>
    <t>016774687E</t>
  </si>
  <si>
    <t>036852018F</t>
  </si>
  <si>
    <t>018242754C</t>
  </si>
  <si>
    <t>018199341B</t>
  </si>
  <si>
    <t>017676000H</t>
  </si>
  <si>
    <t>012905557A</t>
  </si>
  <si>
    <t>012955597F</t>
  </si>
  <si>
    <t>003679419G</t>
  </si>
  <si>
    <t>00861035H</t>
  </si>
  <si>
    <t>018200363C</t>
  </si>
  <si>
    <t>031073364H</t>
  </si>
  <si>
    <t>031800351E</t>
  </si>
  <si>
    <t>008583179A</t>
  </si>
  <si>
    <t>037367799g</t>
  </si>
  <si>
    <t>037143873A</t>
  </si>
  <si>
    <t>34317894D</t>
  </si>
  <si>
    <t>006652357C</t>
  </si>
  <si>
    <t>005439185J</t>
  </si>
  <si>
    <t>00037561233A</t>
  </si>
  <si>
    <t>00034909398J</t>
  </si>
  <si>
    <t>035122023B</t>
  </si>
  <si>
    <t>013532700F</t>
  </si>
  <si>
    <t>00679162C</t>
  </si>
  <si>
    <t>013819967E</t>
  </si>
  <si>
    <t>016681549I</t>
  </si>
  <si>
    <t>017485512c</t>
  </si>
  <si>
    <t>006029874C</t>
  </si>
  <si>
    <t>004600186D</t>
  </si>
  <si>
    <t>0126420045E</t>
  </si>
  <si>
    <t>017912272G</t>
  </si>
  <si>
    <t>018654880G</t>
  </si>
  <si>
    <t>012135213C</t>
  </si>
  <si>
    <t>016514469C</t>
  </si>
  <si>
    <t>031870603D</t>
  </si>
  <si>
    <t>012807568G</t>
  </si>
  <si>
    <t>037294534F</t>
  </si>
  <si>
    <t>011322036C</t>
  </si>
  <si>
    <t>06523141H</t>
  </si>
  <si>
    <t>010312405D</t>
  </si>
  <si>
    <t>00667338J</t>
  </si>
  <si>
    <t>034654784H</t>
  </si>
  <si>
    <t>018554965G</t>
  </si>
  <si>
    <t>003876653B</t>
  </si>
  <si>
    <t>010939412C</t>
  </si>
  <si>
    <t>037472385G</t>
  </si>
  <si>
    <t>012111692F</t>
  </si>
  <si>
    <t>010506432D</t>
  </si>
  <si>
    <t>017690478H</t>
  </si>
  <si>
    <t>068-56-1353</t>
  </si>
  <si>
    <t>595-44-7793</t>
  </si>
  <si>
    <t>113-72-0398</t>
  </si>
  <si>
    <t>117-96-7302</t>
  </si>
  <si>
    <t>132-92-9666</t>
  </si>
  <si>
    <t>075-60-9882</t>
  </si>
  <si>
    <t>094-02-9145</t>
  </si>
  <si>
    <t>063-58-2489</t>
  </si>
  <si>
    <t>108-84-4713</t>
  </si>
  <si>
    <t>080-78-3189</t>
  </si>
  <si>
    <t>063-58-5814</t>
  </si>
  <si>
    <t>090-82-1765</t>
  </si>
  <si>
    <t>090-58-0153</t>
  </si>
  <si>
    <t>498-89-8815</t>
  </si>
  <si>
    <t>112-98-9666</t>
  </si>
  <si>
    <t>113-82-7204</t>
  </si>
  <si>
    <t>099-90-2345</t>
  </si>
  <si>
    <t>100-44-4795</t>
  </si>
  <si>
    <t>088-78-5106</t>
  </si>
  <si>
    <t>078-58-0424</t>
  </si>
  <si>
    <t>253-96-7368</t>
  </si>
  <si>
    <t>106-58-7148</t>
  </si>
  <si>
    <t>071-64-1052</t>
  </si>
  <si>
    <t>109-52-0706</t>
  </si>
  <si>
    <t>795-17-5514</t>
  </si>
  <si>
    <t>830-71-5711</t>
  </si>
  <si>
    <t>106-74-5124</t>
  </si>
  <si>
    <t>348-94-1710</t>
  </si>
  <si>
    <t>066-74-5501</t>
  </si>
  <si>
    <t>086-64-7518</t>
  </si>
  <si>
    <t>063-70-4100</t>
  </si>
  <si>
    <t>132-68-0385</t>
  </si>
  <si>
    <t>328-27-6725</t>
  </si>
  <si>
    <t>097-56-0709</t>
  </si>
  <si>
    <t>129-82-6772</t>
  </si>
  <si>
    <t>125-76-9883</t>
  </si>
  <si>
    <t>581-97-8110</t>
  </si>
  <si>
    <t>116-56-9738</t>
  </si>
  <si>
    <t>063-58-1725</t>
  </si>
  <si>
    <t>088-76-4628</t>
  </si>
  <si>
    <t>584-95-6325</t>
  </si>
  <si>
    <t>099-88-2015</t>
  </si>
  <si>
    <t>524-89-6071</t>
  </si>
  <si>
    <t>440-75-5645</t>
  </si>
  <si>
    <t>063-76-4695</t>
  </si>
  <si>
    <t>101-72-4716</t>
  </si>
  <si>
    <t>129-48-5652</t>
  </si>
  <si>
    <t>244-49-5579</t>
  </si>
  <si>
    <t>079-66-8980</t>
  </si>
  <si>
    <t>426-13-7138</t>
  </si>
  <si>
    <t>062-98-5610</t>
  </si>
  <si>
    <t>098-82-6685</t>
  </si>
  <si>
    <t>131-50-9248</t>
  </si>
  <si>
    <t>128-82-0298</t>
  </si>
  <si>
    <t>114-50-2746</t>
  </si>
  <si>
    <t>056-84-9241</t>
  </si>
  <si>
    <t>100-76-3814</t>
  </si>
  <si>
    <t>688-88-7794</t>
  </si>
  <si>
    <t>515-82-1764</t>
  </si>
  <si>
    <t>264-75-8127</t>
  </si>
  <si>
    <t>109-54-0136</t>
  </si>
  <si>
    <t>730-12-4186</t>
  </si>
  <si>
    <t>261-37-7818</t>
  </si>
  <si>
    <t>079-74-6772</t>
  </si>
  <si>
    <t>107-52-4717</t>
  </si>
  <si>
    <t>066-74-1995</t>
  </si>
  <si>
    <t>086-90-6045</t>
  </si>
  <si>
    <t>156-50-9343</t>
  </si>
  <si>
    <t>073-70-8903</t>
  </si>
  <si>
    <t>087-48-5487</t>
  </si>
  <si>
    <t>594-13-2882</t>
  </si>
  <si>
    <t>088-40-0678</t>
  </si>
  <si>
    <t>233-98-2784</t>
  </si>
  <si>
    <t>116-76-4804</t>
  </si>
  <si>
    <t>124-74-1426</t>
  </si>
  <si>
    <t>089-02-4592</t>
  </si>
  <si>
    <t>094-70-0825</t>
  </si>
  <si>
    <t>120-74-5443</t>
  </si>
  <si>
    <t>115-92-4132</t>
  </si>
  <si>
    <t>020-80-1491</t>
  </si>
  <si>
    <t>082-50-7868</t>
  </si>
  <si>
    <t>060-44-6058</t>
  </si>
  <si>
    <t>578-96-1026</t>
  </si>
  <si>
    <t>092-70-2794</t>
  </si>
  <si>
    <t>099-70-6841</t>
  </si>
  <si>
    <t>054-68-0767</t>
  </si>
  <si>
    <t>108-80-6942</t>
  </si>
  <si>
    <t>059-68-1760</t>
  </si>
  <si>
    <t>060-72-0594</t>
  </si>
  <si>
    <t>119-42-9950</t>
  </si>
  <si>
    <t>061-50-7682</t>
  </si>
  <si>
    <t>060-20-1656</t>
  </si>
  <si>
    <t>103-74-1088</t>
  </si>
  <si>
    <t>076-62-7753</t>
  </si>
  <si>
    <t>154-96-0973</t>
  </si>
  <si>
    <t>052-80-1559</t>
  </si>
  <si>
    <t>095-92-1128</t>
  </si>
  <si>
    <t>100-66-7089</t>
  </si>
  <si>
    <t>060-80-3632</t>
  </si>
  <si>
    <t>099-52-9249</t>
  </si>
  <si>
    <t>098-88-9680</t>
  </si>
  <si>
    <t>104-82-9128</t>
  </si>
  <si>
    <t>064-54-0136</t>
  </si>
  <si>
    <t>080-84-3353</t>
  </si>
  <si>
    <t>163-64-3612</t>
  </si>
  <si>
    <t>577-90-8781</t>
  </si>
  <si>
    <t>054-74-1530</t>
  </si>
  <si>
    <t>062-52-2795</t>
  </si>
  <si>
    <t>048-04-6442</t>
  </si>
  <si>
    <t>066-46-8901</t>
  </si>
  <si>
    <t>000-00-0946</t>
  </si>
  <si>
    <t>078-70-5975</t>
  </si>
  <si>
    <t>205-62-4306</t>
  </si>
  <si>
    <t>094-64-5359</t>
  </si>
  <si>
    <t>130-54-0321</t>
  </si>
  <si>
    <t>261-97-2848</t>
  </si>
  <si>
    <t>062-92-8389</t>
  </si>
  <si>
    <t>892-21-2409</t>
  </si>
  <si>
    <t>583-55-8222</t>
  </si>
  <si>
    <t>156-52-9824</t>
  </si>
  <si>
    <t>103-70-6183</t>
  </si>
  <si>
    <t>212-78-4946</t>
  </si>
  <si>
    <t>091-90-2357</t>
  </si>
  <si>
    <t>083-62-1915</t>
  </si>
  <si>
    <t>609-90-1665</t>
  </si>
  <si>
    <t>069-66-7566</t>
  </si>
  <si>
    <t>124-44-3043</t>
  </si>
  <si>
    <t>589-78-4142</t>
  </si>
  <si>
    <t>060-86-4923</t>
  </si>
  <si>
    <t>057-78-8391</t>
  </si>
  <si>
    <t>054-68-3745</t>
  </si>
  <si>
    <t>104-64-3271</t>
  </si>
  <si>
    <t>111-82-4811</t>
  </si>
  <si>
    <t>131-82-2907</t>
  </si>
  <si>
    <t>059-68-4507</t>
  </si>
  <si>
    <t>090-70-4567</t>
  </si>
  <si>
    <t>058-82-6149</t>
  </si>
  <si>
    <t>068-02-1761</t>
  </si>
  <si>
    <t>052-48-9177</t>
  </si>
  <si>
    <t>062-80-0551</t>
  </si>
  <si>
    <t>623-31-6461</t>
  </si>
  <si>
    <t>545-98-2355</t>
  </si>
  <si>
    <t>064-76-1503</t>
  </si>
  <si>
    <t>059-94-2755</t>
  </si>
  <si>
    <t>821-71-8398</t>
  </si>
  <si>
    <t>121-70-9208</t>
  </si>
  <si>
    <t>264-95-2138</t>
  </si>
  <si>
    <t>071-96-6216</t>
  </si>
  <si>
    <t>772-01-7743</t>
  </si>
  <si>
    <t>113-88-5110</t>
  </si>
  <si>
    <t>731-07-4373</t>
  </si>
  <si>
    <t>124-70-2020</t>
  </si>
  <si>
    <t>111-32-5189</t>
  </si>
  <si>
    <t>329-72-4351</t>
  </si>
  <si>
    <t>157-72-8185</t>
  </si>
  <si>
    <t>053-02-7064</t>
  </si>
  <si>
    <t>124-62-7603</t>
  </si>
  <si>
    <t>238-98-8015</t>
  </si>
  <si>
    <t>062-74-4360</t>
  </si>
  <si>
    <t>129-56-8661</t>
  </si>
  <si>
    <t>582-21-4189</t>
  </si>
  <si>
    <t>814-97-2688</t>
  </si>
  <si>
    <t>813-97-9734</t>
  </si>
  <si>
    <t>052-66-6059</t>
  </si>
  <si>
    <t>099-76-8809</t>
  </si>
  <si>
    <t>054-44-7253</t>
  </si>
  <si>
    <t>051-54-9985</t>
  </si>
  <si>
    <t>095-68-0570</t>
  </si>
  <si>
    <t>113-50-5177</t>
  </si>
  <si>
    <t>098-74-5834</t>
  </si>
  <si>
    <t>125-56-6586</t>
  </si>
  <si>
    <t>128-86-2508</t>
  </si>
  <si>
    <t>076-88-5240</t>
  </si>
  <si>
    <t>105-70-3929</t>
  </si>
  <si>
    <t>106-78-5587</t>
  </si>
  <si>
    <t>105-60-4676</t>
  </si>
  <si>
    <t>116-86-9605</t>
  </si>
  <si>
    <t>733-12-0121</t>
  </si>
  <si>
    <t>792-41-0725</t>
  </si>
  <si>
    <t>091-78-0723</t>
  </si>
  <si>
    <t>097-68-3857</t>
  </si>
  <si>
    <t>114-92-7555</t>
  </si>
  <si>
    <t>113-56-0451</t>
  </si>
  <si>
    <t>078-98-5589</t>
  </si>
  <si>
    <t>093-62-3223</t>
  </si>
  <si>
    <t>099-46-3854</t>
  </si>
  <si>
    <t>104-68-0161</t>
  </si>
  <si>
    <t>900-98-3710</t>
  </si>
  <si>
    <t>721-19-2910</t>
  </si>
  <si>
    <t>051-78-6872</t>
  </si>
  <si>
    <t>079-72-6666</t>
  </si>
  <si>
    <t>086-74-0296</t>
  </si>
  <si>
    <t>129-62-1869</t>
  </si>
  <si>
    <t>072-54-9513</t>
  </si>
  <si>
    <t>363-31-3634</t>
  </si>
  <si>
    <t>089-58-8355</t>
  </si>
  <si>
    <t>055-64-3373</t>
  </si>
  <si>
    <t>113-44-9667</t>
  </si>
  <si>
    <t>125-52-2945</t>
  </si>
  <si>
    <t>108-48-2704</t>
  </si>
  <si>
    <t>125-58-8915</t>
  </si>
  <si>
    <t>092-38-9626</t>
  </si>
  <si>
    <t>121-64-3355</t>
  </si>
  <si>
    <t>097-86-8059</t>
  </si>
  <si>
    <t>059-84-3926</t>
  </si>
  <si>
    <t>063-90-2588</t>
  </si>
  <si>
    <t>060-62-9365</t>
  </si>
  <si>
    <t>100-84-9272</t>
  </si>
  <si>
    <t>588-88-5588</t>
  </si>
  <si>
    <t>131-90-5546</t>
  </si>
  <si>
    <t>094-62-6786</t>
  </si>
  <si>
    <t>090-66-3392</t>
  </si>
  <si>
    <t>731-12-3424</t>
  </si>
  <si>
    <t>597-20-7587</t>
  </si>
  <si>
    <t>092-82-5362</t>
  </si>
  <si>
    <t>144-62-2559</t>
  </si>
  <si>
    <t>128-82-1987</t>
  </si>
  <si>
    <t>120-70-5792</t>
  </si>
  <si>
    <t>616-60-8786</t>
  </si>
  <si>
    <t>126-68-6687</t>
  </si>
  <si>
    <t>732-14-4317</t>
  </si>
  <si>
    <t>119-94-5500</t>
  </si>
  <si>
    <t>238-27-5703</t>
  </si>
  <si>
    <t>088-70-0334</t>
  </si>
  <si>
    <t>107-64-8314</t>
  </si>
  <si>
    <t>097-82-6079</t>
  </si>
  <si>
    <t>420-58-9880</t>
  </si>
  <si>
    <t>015-46-7530</t>
  </si>
  <si>
    <t>107-64-6218</t>
  </si>
  <si>
    <t>066-64-0517</t>
  </si>
  <si>
    <t>081-58-9953</t>
  </si>
  <si>
    <t>086-80-2082</t>
  </si>
  <si>
    <t>063-58-4024</t>
  </si>
  <si>
    <t>130-70-3821</t>
  </si>
  <si>
    <t>104-76-2279</t>
  </si>
  <si>
    <t>067-44-4044</t>
  </si>
  <si>
    <t>101-64-5688</t>
  </si>
  <si>
    <t>072-82-8411</t>
  </si>
  <si>
    <t>108-40-5020</t>
  </si>
  <si>
    <t>096-70-1711</t>
  </si>
  <si>
    <t>104-66-7145</t>
  </si>
  <si>
    <t>078-52-3128</t>
  </si>
  <si>
    <t>058-74-6125</t>
  </si>
  <si>
    <t>516-29-2636</t>
  </si>
  <si>
    <t>091-44-0154</t>
  </si>
  <si>
    <t>122-50-3883</t>
  </si>
  <si>
    <t>416-04-7561</t>
  </si>
  <si>
    <t>247-86-4291</t>
  </si>
  <si>
    <t>091-76-6337</t>
  </si>
  <si>
    <t>085-90-7913</t>
  </si>
  <si>
    <t>125-68-2969</t>
  </si>
  <si>
    <t>065-54-7453</t>
  </si>
  <si>
    <t>066-72-9179</t>
  </si>
  <si>
    <t>128-68-1108</t>
  </si>
  <si>
    <t>061-64-6284</t>
  </si>
  <si>
    <t>081-70-8680</t>
  </si>
  <si>
    <t>125-60-7060</t>
  </si>
  <si>
    <t>115-70-6169</t>
  </si>
  <si>
    <t>121-58-5917</t>
  </si>
  <si>
    <t>059-60-9412</t>
  </si>
  <si>
    <t>099-88-5529</t>
  </si>
  <si>
    <t>084-00-3821</t>
  </si>
  <si>
    <t>092-40-7124</t>
  </si>
  <si>
    <t>057-74-0646</t>
  </si>
  <si>
    <t>065-84-8872</t>
  </si>
  <si>
    <t>051-42-0853</t>
  </si>
  <si>
    <t>053-46-7871</t>
  </si>
  <si>
    <t>841-57-9603</t>
  </si>
  <si>
    <t>781-72-0121</t>
  </si>
  <si>
    <t>133-78-1332</t>
  </si>
  <si>
    <t>118-68-0166</t>
  </si>
  <si>
    <t>131-84-9272</t>
  </si>
  <si>
    <t>083-62-6621</t>
  </si>
  <si>
    <t>074-58-9092</t>
  </si>
  <si>
    <t>107-84-1289</t>
  </si>
  <si>
    <t>069-92-0835</t>
  </si>
  <si>
    <t>066-68-6207</t>
  </si>
  <si>
    <t>066-64-0767</t>
  </si>
  <si>
    <t>099-84-0599</t>
  </si>
  <si>
    <t>111-82-2076</t>
  </si>
  <si>
    <t>065-76-3514</t>
  </si>
  <si>
    <t>083-84-6149</t>
  </si>
  <si>
    <t>082-66-4354</t>
  </si>
  <si>
    <t>070-64-5196</t>
  </si>
  <si>
    <t>122-86-1977</t>
  </si>
  <si>
    <t>080-72-8909</t>
  </si>
  <si>
    <t>054-62-4977</t>
  </si>
  <si>
    <t>417-17-7438</t>
  </si>
  <si>
    <t>080-62-1437</t>
  </si>
  <si>
    <t>053-82-5390</t>
  </si>
  <si>
    <t>083-74-4254</t>
  </si>
  <si>
    <t>201-35-8703</t>
  </si>
  <si>
    <t>079-58-9635</t>
  </si>
  <si>
    <t>072-06-3359</t>
  </si>
  <si>
    <t>064-58-8665</t>
  </si>
  <si>
    <t>107-85-7521</t>
  </si>
  <si>
    <t>077-52-4741</t>
  </si>
  <si>
    <t>108-64-3161</t>
  </si>
  <si>
    <t>070-58-2552</t>
  </si>
  <si>
    <t>120-42-3664</t>
  </si>
  <si>
    <t>090-70-0022</t>
  </si>
  <si>
    <t>116-76-8758</t>
  </si>
  <si>
    <t>052-76-7233</t>
  </si>
  <si>
    <t>120-66-8589</t>
  </si>
  <si>
    <t>118-58-1771</t>
  </si>
  <si>
    <t>849-02-4803</t>
  </si>
  <si>
    <t>134-62-2040</t>
  </si>
  <si>
    <t>064-66-3307</t>
  </si>
  <si>
    <t>060-62-0323</t>
  </si>
  <si>
    <t>103-84-9482</t>
  </si>
  <si>
    <t>069-78-7913</t>
  </si>
  <si>
    <t>092-80-0078</t>
  </si>
  <si>
    <t>093-90-5161</t>
  </si>
  <si>
    <t>057-60-0794</t>
  </si>
  <si>
    <t>116-70-2968</t>
  </si>
  <si>
    <t>659-70-8990</t>
  </si>
  <si>
    <t>823-48-3203</t>
  </si>
  <si>
    <t>000-00-5677</t>
  </si>
  <si>
    <t>594-18-9588</t>
  </si>
  <si>
    <t>525-51-5589</t>
  </si>
  <si>
    <t>582-53-0401</t>
  </si>
  <si>
    <t>107-88-6567</t>
  </si>
  <si>
    <t>113-74-4589</t>
  </si>
  <si>
    <t>086-66-8364</t>
  </si>
  <si>
    <t>133-90-9065</t>
  </si>
  <si>
    <t>065-82-1788</t>
  </si>
  <si>
    <t>158-70-5748</t>
  </si>
  <si>
    <t>100-64-0198</t>
  </si>
  <si>
    <t>095-86-8210</t>
  </si>
  <si>
    <t>107-68-9042</t>
  </si>
  <si>
    <t>127-56-1271</t>
  </si>
  <si>
    <t>078-58-9638</t>
  </si>
  <si>
    <t>134-64-8828</t>
  </si>
  <si>
    <t>084-60-5424</t>
  </si>
  <si>
    <t>133-84-5346</t>
  </si>
  <si>
    <t>114-42-2362</t>
  </si>
  <si>
    <t>098-50-4977</t>
  </si>
  <si>
    <t>082-86-8022</t>
  </si>
  <si>
    <t>107-62-7835</t>
  </si>
  <si>
    <t>073-62-8001</t>
  </si>
  <si>
    <t>070-58-1568</t>
  </si>
  <si>
    <t>053-58-4787</t>
  </si>
  <si>
    <t>596-52-2914</t>
  </si>
  <si>
    <t>108-40-8473</t>
  </si>
  <si>
    <t>090-66-6457</t>
  </si>
  <si>
    <t>078-62-2259</t>
  </si>
  <si>
    <t>255-92-0172</t>
  </si>
  <si>
    <t>099-92-6063</t>
  </si>
  <si>
    <t>107-66-3121</t>
  </si>
  <si>
    <t>128-66-0928</t>
  </si>
  <si>
    <t>117-94-3958</t>
  </si>
  <si>
    <t>133-80-7612</t>
  </si>
  <si>
    <t>071-96-3808</t>
  </si>
  <si>
    <t>095-86-1173</t>
  </si>
  <si>
    <t>373-25-7192</t>
  </si>
  <si>
    <t>074-90-5053</t>
  </si>
  <si>
    <t>098-62-8899</t>
  </si>
  <si>
    <t>104-56-1880</t>
  </si>
  <si>
    <t>437-54-8938</t>
  </si>
  <si>
    <t>154-76-3581</t>
  </si>
  <si>
    <t>130-60-4642</t>
  </si>
  <si>
    <t>097-54-4806</t>
  </si>
  <si>
    <t>132-46-7691</t>
  </si>
  <si>
    <t>096-34-1891</t>
  </si>
  <si>
    <t>128-64-4894</t>
  </si>
  <si>
    <t>071-48-0346</t>
  </si>
  <si>
    <t>067-78-2536</t>
  </si>
  <si>
    <t>378-04-4821</t>
  </si>
  <si>
    <t>080-68-5565</t>
  </si>
  <si>
    <t>067-64-7718</t>
  </si>
  <si>
    <t>091-74-1446</t>
  </si>
  <si>
    <t>075-74-9013</t>
  </si>
  <si>
    <t>056-60-3249</t>
  </si>
  <si>
    <t>067-76-8495</t>
  </si>
  <si>
    <t>113-62-4258</t>
  </si>
  <si>
    <t>051-84-3697</t>
  </si>
  <si>
    <t>823-33-0468</t>
  </si>
  <si>
    <t>083-70-7327</t>
  </si>
  <si>
    <t>094-88-4433</t>
  </si>
  <si>
    <t>209-75-5464</t>
  </si>
  <si>
    <t>237-72-1722</t>
  </si>
  <si>
    <t>100-58-4283</t>
  </si>
  <si>
    <t>130-66-4429</t>
  </si>
  <si>
    <t>092-74-4128</t>
  </si>
  <si>
    <t>103-70-6864</t>
  </si>
  <si>
    <t>283-35-7340</t>
  </si>
  <si>
    <t>324-47-8551</t>
  </si>
  <si>
    <t>084-44-1167</t>
  </si>
  <si>
    <t>085-52-0926</t>
  </si>
  <si>
    <t>064-50-3774</t>
  </si>
  <si>
    <t>106-56-4933</t>
  </si>
  <si>
    <t>118-74-1733</t>
  </si>
  <si>
    <t>056-66-1761</t>
  </si>
  <si>
    <t>063-94-3286</t>
  </si>
  <si>
    <t>074-60-4708</t>
  </si>
  <si>
    <t>106-76-1636</t>
  </si>
  <si>
    <t>052-74-2156</t>
  </si>
  <si>
    <t>074-64-4770</t>
  </si>
  <si>
    <t>125-76-3998</t>
  </si>
  <si>
    <t>523-51-1786</t>
  </si>
  <si>
    <t>244-73-2508</t>
  </si>
  <si>
    <t>057-84-2909</t>
  </si>
  <si>
    <t>131-88-1132</t>
  </si>
  <si>
    <t>090-70-0029</t>
  </si>
  <si>
    <t>057-60-4861</t>
  </si>
  <si>
    <t>092-70-3246</t>
  </si>
  <si>
    <t>029-40-9787</t>
  </si>
  <si>
    <t>619-91-7657</t>
  </si>
  <si>
    <t>050-70-0294</t>
  </si>
  <si>
    <t>113-84-4960</t>
  </si>
  <si>
    <t>095-58-4573</t>
  </si>
  <si>
    <t>095-78-0272</t>
  </si>
  <si>
    <t>063-70-0027</t>
  </si>
  <si>
    <t>097-78-9657</t>
  </si>
  <si>
    <t>118-80-9538</t>
  </si>
  <si>
    <t>103-38-2860</t>
  </si>
  <si>
    <t>134-56-2511</t>
  </si>
  <si>
    <t>055-48-5296</t>
  </si>
  <si>
    <t>066-76-8243</t>
  </si>
  <si>
    <t>077-74-4382</t>
  </si>
  <si>
    <t>102-58-6455</t>
  </si>
  <si>
    <t>103-74-3806</t>
  </si>
  <si>
    <t>322-52-6510</t>
  </si>
  <si>
    <t>130-64-4279</t>
  </si>
  <si>
    <t>105-56-7063</t>
  </si>
  <si>
    <t>106-78-3690</t>
  </si>
  <si>
    <t>133-86-7294</t>
  </si>
  <si>
    <t>060-56-1373</t>
  </si>
  <si>
    <t>076-50-7875</t>
  </si>
  <si>
    <t>058-64-2069</t>
  </si>
  <si>
    <t>057-78-3042</t>
  </si>
  <si>
    <t>062-78-8522</t>
  </si>
  <si>
    <t>050-60-5926</t>
  </si>
  <si>
    <t>065-50-6042</t>
  </si>
  <si>
    <t>103-44-8486</t>
  </si>
  <si>
    <t>072-68-6249</t>
  </si>
  <si>
    <t>307-08-1052</t>
  </si>
  <si>
    <t>119-80-0163</t>
  </si>
  <si>
    <t>057-74-9143</t>
  </si>
  <si>
    <t>096-60-1509</t>
  </si>
  <si>
    <t>123-74-2775</t>
  </si>
  <si>
    <t>051-58-6414</t>
  </si>
  <si>
    <t>125-60-0532</t>
  </si>
  <si>
    <t>082-60-6910</t>
  </si>
  <si>
    <t>118-64-2672</t>
  </si>
  <si>
    <t>101-98-1443</t>
  </si>
  <si>
    <t>536-84-6135</t>
  </si>
  <si>
    <t>207-33-7030</t>
  </si>
  <si>
    <t>873-02-0445</t>
  </si>
  <si>
    <t>121-82-1201</t>
  </si>
  <si>
    <t>119-94-2492</t>
  </si>
  <si>
    <t>124-44-8738</t>
  </si>
  <si>
    <t>135-62-8635</t>
  </si>
  <si>
    <t>058-50-7079</t>
  </si>
  <si>
    <t>077-58-6624</t>
  </si>
  <si>
    <t>059-58-6529</t>
  </si>
  <si>
    <t>095-58-8417</t>
  </si>
  <si>
    <t>086-80-5883</t>
  </si>
  <si>
    <t>053-94-0089</t>
  </si>
  <si>
    <t>779-63-3922</t>
  </si>
  <si>
    <t>108-50-6251</t>
  </si>
  <si>
    <t>082-58-8585</t>
  </si>
  <si>
    <t>155-92-2265</t>
  </si>
  <si>
    <t>134-72-6736</t>
  </si>
  <si>
    <t>114-74-5394</t>
  </si>
  <si>
    <t>069-66-7885</t>
  </si>
  <si>
    <t>592-32-5902</t>
  </si>
  <si>
    <t>101-60-5540</t>
  </si>
  <si>
    <t>105-76-1889</t>
  </si>
  <si>
    <t>065-46-1229</t>
  </si>
  <si>
    <t>821-13-0266</t>
  </si>
  <si>
    <t>099-88-0713</t>
  </si>
  <si>
    <t>093-82-1534</t>
  </si>
  <si>
    <t>130-82-5109</t>
  </si>
  <si>
    <t>093-58-6703</t>
  </si>
  <si>
    <t>129-50-5338</t>
  </si>
  <si>
    <t>092-54-2455</t>
  </si>
  <si>
    <t>130-68-9830</t>
  </si>
  <si>
    <t>045-56-5647</t>
  </si>
  <si>
    <t>095-66-0430</t>
  </si>
  <si>
    <t>085-54-3148</t>
  </si>
  <si>
    <t>075-64-7328</t>
  </si>
  <si>
    <t>099-98-8036</t>
  </si>
  <si>
    <t>083-64-4372</t>
  </si>
  <si>
    <t>059-78-7449</t>
  </si>
  <si>
    <t>058-88-4682</t>
  </si>
  <si>
    <t>075-88-5966</t>
  </si>
  <si>
    <t>097-66-2952</t>
  </si>
  <si>
    <t>058-58-6243</t>
  </si>
  <si>
    <t>085-64-7147</t>
  </si>
  <si>
    <t>084-78-2909</t>
  </si>
  <si>
    <t>091-94-5296</t>
  </si>
  <si>
    <t>218-73-9721</t>
  </si>
  <si>
    <t>054-02-8877</t>
  </si>
  <si>
    <t>076-56-1948</t>
  </si>
  <si>
    <t>125-64-6163</t>
  </si>
  <si>
    <t>113-56-2161</t>
  </si>
  <si>
    <t>257-25-4471</t>
  </si>
  <si>
    <t>068-86-4572</t>
  </si>
  <si>
    <t>069-54-1531</t>
  </si>
  <si>
    <t>041-54-4375</t>
  </si>
  <si>
    <t>119-54-4937</t>
  </si>
  <si>
    <t>103-62-2524</t>
  </si>
  <si>
    <t>583-13-3394</t>
  </si>
  <si>
    <t>128-56-3571</t>
  </si>
  <si>
    <t>073-80-5217</t>
  </si>
  <si>
    <t>127-68-3916</t>
  </si>
  <si>
    <t>068-58-5881</t>
  </si>
  <si>
    <t>090-72-7244</t>
  </si>
  <si>
    <t>208-84-0334</t>
  </si>
  <si>
    <t>077-68-3509</t>
  </si>
  <si>
    <t>062-86-0095</t>
  </si>
  <si>
    <t>662-41-0636</t>
  </si>
  <si>
    <t>351-94-5012</t>
  </si>
  <si>
    <t>067-94-7136</t>
  </si>
  <si>
    <t>065-86-2445</t>
  </si>
  <si>
    <t>113-78-0481</t>
  </si>
  <si>
    <t>102-94-0143</t>
  </si>
  <si>
    <t>056-94-4122</t>
  </si>
  <si>
    <t>157-15-4020</t>
  </si>
  <si>
    <t>068-36-7555</t>
  </si>
  <si>
    <t>727-09-8905</t>
  </si>
  <si>
    <t>595-50-3758</t>
  </si>
  <si>
    <t>134-68-4952</t>
  </si>
  <si>
    <t>050-62-3253</t>
  </si>
  <si>
    <t>741-83-4329</t>
  </si>
  <si>
    <t>066-80-9425</t>
  </si>
  <si>
    <t>089-92-3042</t>
  </si>
  <si>
    <t>130-58-0762</t>
  </si>
  <si>
    <t>093-42-6840</t>
  </si>
  <si>
    <t>235-96-9256</t>
  </si>
  <si>
    <t>075-74-3548</t>
  </si>
  <si>
    <t>053-70-8730</t>
  </si>
  <si>
    <t>115-92-9511</t>
  </si>
  <si>
    <t>068-44-5769</t>
  </si>
  <si>
    <t>072-66-2689</t>
  </si>
  <si>
    <t>109-56-4862</t>
  </si>
  <si>
    <t>129-68-2087</t>
  </si>
  <si>
    <t>107-70-4764</t>
  </si>
  <si>
    <t>111-64-7551</t>
  </si>
  <si>
    <t>396-29-0818</t>
  </si>
  <si>
    <t>118-82-0272</t>
  </si>
  <si>
    <t>099-72-8383</t>
  </si>
  <si>
    <t>052-82-2861</t>
  </si>
  <si>
    <t>575-98-7631</t>
  </si>
  <si>
    <t>584-74-1310</t>
  </si>
  <si>
    <t>103-78-0314</t>
  </si>
  <si>
    <t>000-00-7059</t>
  </si>
  <si>
    <t>106-90-5537</t>
  </si>
  <si>
    <t>123-66-2533</t>
  </si>
  <si>
    <t>111-74-9683</t>
  </si>
  <si>
    <t>066-72-4178</t>
  </si>
  <si>
    <t>127-64-8951</t>
  </si>
  <si>
    <t>133-68-1739</t>
  </si>
  <si>
    <t>293-17-0856</t>
  </si>
  <si>
    <t>058-90-0659</t>
  </si>
  <si>
    <t>111-82-5103</t>
  </si>
  <si>
    <t>089-68-8370</t>
  </si>
  <si>
    <t>207-63-8490</t>
  </si>
  <si>
    <t>111-78-6465</t>
  </si>
  <si>
    <t>083-50-0414</t>
  </si>
  <si>
    <t>099-34-5117</t>
  </si>
  <si>
    <t>273-74-8815</t>
  </si>
  <si>
    <t>130-60-2714</t>
  </si>
  <si>
    <t>098-54-5212</t>
  </si>
  <si>
    <t>055-54-5520</t>
  </si>
  <si>
    <t>077-72-7430</t>
  </si>
  <si>
    <t>056-76-6606</t>
  </si>
  <si>
    <t>110-62-6553</t>
  </si>
  <si>
    <t>101-90-3599</t>
  </si>
  <si>
    <t>133-80-0885</t>
  </si>
  <si>
    <t>077-58-4307</t>
  </si>
  <si>
    <t>083-56-2928</t>
  </si>
  <si>
    <t>131-62-3689</t>
  </si>
  <si>
    <t>127-66-7633</t>
  </si>
  <si>
    <t>050-52-8167</t>
  </si>
  <si>
    <t>127-68-1501</t>
  </si>
  <si>
    <t>091-54-6575</t>
  </si>
  <si>
    <t>098-02-9496</t>
  </si>
  <si>
    <t>589-92-9383</t>
  </si>
  <si>
    <t>107-70-4648</t>
  </si>
  <si>
    <t>067-58-0374</t>
  </si>
  <si>
    <t>109-90-7130</t>
  </si>
  <si>
    <t>236-51-1618</t>
  </si>
  <si>
    <t>101-92-6949</t>
  </si>
  <si>
    <t>111-56-5617</t>
  </si>
  <si>
    <t>059-70-1484</t>
  </si>
  <si>
    <t>127-54-7247</t>
  </si>
  <si>
    <t>096-76-6558</t>
  </si>
  <si>
    <t>105-58-5479</t>
  </si>
  <si>
    <t>134-46-6941</t>
  </si>
  <si>
    <t>093-84-9934</t>
  </si>
  <si>
    <t>069-68-1758</t>
  </si>
  <si>
    <t>084-70-1820</t>
  </si>
  <si>
    <t>125-50-6024</t>
  </si>
  <si>
    <t>126-52-7146</t>
  </si>
  <si>
    <t>124-56-2820</t>
  </si>
  <si>
    <t>112-74-2735</t>
  </si>
  <si>
    <t>081-46-9889</t>
  </si>
  <si>
    <t>053-58-3383</t>
  </si>
  <si>
    <t>104-82-4492</t>
  </si>
  <si>
    <t>064-32-8222</t>
  </si>
  <si>
    <t>116-90-7308</t>
  </si>
  <si>
    <t>083-42-2743</t>
  </si>
  <si>
    <t>120-60-3140</t>
  </si>
  <si>
    <t>061-44-1601</t>
  </si>
  <si>
    <t>070-42-3358</t>
  </si>
  <si>
    <t>067-64-4095</t>
  </si>
  <si>
    <t>077-58-1374</t>
  </si>
  <si>
    <t>093-58-1830</t>
  </si>
  <si>
    <t>102-68-0894</t>
  </si>
  <si>
    <t>073-64-9027</t>
  </si>
  <si>
    <t>163-56-3209</t>
  </si>
  <si>
    <t>074-56-4689</t>
  </si>
  <si>
    <t>052-58-7713</t>
  </si>
  <si>
    <t>105-70-3758</t>
  </si>
  <si>
    <t>073-86-6297</t>
  </si>
  <si>
    <t>072-50-6590</t>
  </si>
  <si>
    <t>125-54-5343</t>
  </si>
  <si>
    <t>072-33-3443</t>
  </si>
  <si>
    <t>089-76-9848</t>
  </si>
  <si>
    <t>263-95-9248</t>
  </si>
  <si>
    <t>133-70-1977</t>
  </si>
  <si>
    <t>067-76-7736</t>
  </si>
  <si>
    <t>265-65-3058</t>
  </si>
  <si>
    <t>050-58-3266</t>
  </si>
  <si>
    <t>119-76-7278</t>
  </si>
  <si>
    <t>131-64-4869</t>
  </si>
  <si>
    <t>134-48-2105</t>
  </si>
  <si>
    <t>609-90-2524</t>
  </si>
  <si>
    <t>068-78-9897</t>
  </si>
  <si>
    <t>081-68-8476</t>
  </si>
  <si>
    <t>812-30-9843</t>
  </si>
  <si>
    <t>204-76-7426</t>
  </si>
  <si>
    <t>146-68-3178</t>
  </si>
  <si>
    <t>111-64-6480</t>
  </si>
  <si>
    <t>051-70-7961</t>
  </si>
  <si>
    <t>120-66-6281</t>
  </si>
  <si>
    <t>082-64-6484</t>
  </si>
  <si>
    <t>102-58-5187</t>
  </si>
  <si>
    <t>132-68-8334</t>
  </si>
  <si>
    <t>130-66-8502</t>
  </si>
  <si>
    <t>095-68-3275</t>
  </si>
  <si>
    <t>087-68-2494</t>
  </si>
  <si>
    <t>016-78-3007</t>
  </si>
  <si>
    <t>068-58-0612</t>
  </si>
  <si>
    <t>099-72-1952</t>
  </si>
  <si>
    <t>116-68-5912</t>
  </si>
  <si>
    <t>141-06-4878</t>
  </si>
  <si>
    <t>069-58-9275</t>
  </si>
  <si>
    <t>094-70-1591</t>
  </si>
  <si>
    <t>080-78-5517</t>
  </si>
  <si>
    <t>055-62-4678</t>
  </si>
  <si>
    <t>282-91-2077</t>
  </si>
  <si>
    <t>056-90-2732</t>
  </si>
  <si>
    <t>108-80-6857</t>
  </si>
  <si>
    <t>335-57-8114</t>
  </si>
  <si>
    <t>605-37-6085</t>
  </si>
  <si>
    <t>098-36-7732</t>
  </si>
  <si>
    <t>118-98-9413</t>
  </si>
  <si>
    <t>085-98-9063</t>
  </si>
  <si>
    <t>096-58-7003</t>
  </si>
  <si>
    <t>510-72-2672</t>
  </si>
  <si>
    <t>126-70-5471</t>
  </si>
  <si>
    <t>155-46-0151</t>
  </si>
  <si>
    <t>084-74-5779</t>
  </si>
  <si>
    <t>131-50-3118</t>
  </si>
  <si>
    <t>124-88-8770</t>
  </si>
  <si>
    <t>069-50-6553</t>
  </si>
  <si>
    <t>059-66-1046</t>
  </si>
  <si>
    <t>081-80-8444</t>
  </si>
  <si>
    <t>094-68-4168</t>
  </si>
  <si>
    <t>055-74-6359</t>
  </si>
  <si>
    <t>442-61-6085</t>
  </si>
  <si>
    <t>069-70-3734</t>
  </si>
  <si>
    <t>103-88-7197</t>
  </si>
  <si>
    <t>076-48-5570</t>
  </si>
  <si>
    <t>000-00-1006</t>
  </si>
  <si>
    <t>113-66-1863</t>
  </si>
  <si>
    <t>133-98-6450</t>
  </si>
  <si>
    <t>137-58-6011</t>
  </si>
  <si>
    <t>734-91-0005</t>
  </si>
  <si>
    <t>111-66-2441</t>
  </si>
  <si>
    <t>071-74-9761</t>
  </si>
  <si>
    <t>118-96-8996</t>
  </si>
  <si>
    <t>066-96-4590</t>
  </si>
  <si>
    <t>121-60-0964</t>
  </si>
  <si>
    <t>769-80-5348</t>
  </si>
  <si>
    <t>058-62-1182</t>
  </si>
  <si>
    <t>064-90-2899</t>
  </si>
  <si>
    <t>114-86-2459</t>
  </si>
  <si>
    <t>065-54-8231</t>
  </si>
  <si>
    <t>058-62-1467</t>
  </si>
  <si>
    <t>000-00-8340</t>
  </si>
  <si>
    <t>011-74-0430</t>
  </si>
  <si>
    <t>097-74-2363</t>
  </si>
  <si>
    <t>076-76-0436</t>
  </si>
  <si>
    <t>757-40-6257</t>
  </si>
  <si>
    <t>089-78-0626</t>
  </si>
  <si>
    <t>094-78-5714</t>
  </si>
  <si>
    <t>115-62-3869</t>
  </si>
  <si>
    <t>042-98-8316</t>
  </si>
  <si>
    <t>101-86-5551</t>
  </si>
  <si>
    <t>108-68-1739</t>
  </si>
  <si>
    <t>120-72-4866</t>
  </si>
  <si>
    <t>624-33-1005</t>
  </si>
  <si>
    <t>068-64-5872</t>
  </si>
  <si>
    <t>104-72-0097</t>
  </si>
  <si>
    <t>061-58-8965</t>
  </si>
  <si>
    <t>758-37-0163</t>
  </si>
  <si>
    <t>169-72-7355</t>
  </si>
  <si>
    <t>123-90-7150</t>
  </si>
  <si>
    <t>397-41-3621</t>
  </si>
  <si>
    <t>077-62-7473</t>
  </si>
  <si>
    <t>127-56-7187</t>
  </si>
  <si>
    <t>112-74-1820</t>
  </si>
  <si>
    <t>075-58-6691</t>
  </si>
  <si>
    <t>052-68-4361</t>
  </si>
  <si>
    <t>079-74-6479</t>
  </si>
  <si>
    <t>092-43-1474</t>
  </si>
  <si>
    <t>000-00-7355</t>
  </si>
  <si>
    <t>106-40-3866</t>
  </si>
  <si>
    <t>582-35-7802</t>
  </si>
  <si>
    <t>098-76-3290</t>
  </si>
  <si>
    <t>356-76-3713</t>
  </si>
  <si>
    <t>098-56-1903</t>
  </si>
  <si>
    <t>563-71-2392</t>
  </si>
  <si>
    <t>095-50-0687</t>
  </si>
  <si>
    <t>073-50-0572</t>
  </si>
  <si>
    <t>547-77-9326</t>
  </si>
  <si>
    <t>057-86-4204</t>
  </si>
  <si>
    <t>078-66-7957</t>
  </si>
  <si>
    <t>157-76-9463</t>
  </si>
  <si>
    <t>099-98-5316</t>
  </si>
  <si>
    <t>003-02-5917</t>
  </si>
  <si>
    <t>584-70-9240</t>
  </si>
  <si>
    <t>058-98-8459</t>
  </si>
  <si>
    <t>065-58-8701</t>
  </si>
  <si>
    <t>073-86-8315</t>
  </si>
  <si>
    <t>074-74-2517</t>
  </si>
  <si>
    <t>123-80-0421</t>
  </si>
  <si>
    <t>102-74-9238</t>
  </si>
  <si>
    <t>124-80-8708</t>
  </si>
  <si>
    <t>077-74-7379</t>
  </si>
  <si>
    <t>729-07-7432</t>
  </si>
  <si>
    <t>110-58-4928</t>
  </si>
  <si>
    <t>090-50-9137</t>
  </si>
  <si>
    <t>058-76-7268</t>
  </si>
  <si>
    <t>120-94-7036</t>
  </si>
  <si>
    <t>133-86-7385</t>
  </si>
  <si>
    <t>107-64-2880</t>
  </si>
  <si>
    <t>088-48-2636</t>
  </si>
  <si>
    <t>466-63-1980</t>
  </si>
  <si>
    <t>120-58-1235</t>
  </si>
  <si>
    <t>091-58-0744</t>
  </si>
  <si>
    <t>153-08-0869</t>
  </si>
  <si>
    <t>100-36-2139</t>
  </si>
  <si>
    <t>369-81-3504</t>
  </si>
  <si>
    <t>093-52-7259</t>
  </si>
  <si>
    <t>073-02-1303</t>
  </si>
  <si>
    <t>061-68-9863</t>
  </si>
  <si>
    <t>110-74-2334</t>
  </si>
  <si>
    <t>087-54-2642</t>
  </si>
  <si>
    <t>420-93-9065</t>
  </si>
  <si>
    <t>730-03-3178</t>
  </si>
  <si>
    <t>591-36-5498</t>
  </si>
  <si>
    <t>127-54-7124</t>
  </si>
  <si>
    <t>091-96-3808</t>
  </si>
  <si>
    <t>053-94-6651</t>
  </si>
  <si>
    <t>018-21-8428</t>
  </si>
  <si>
    <t>104-90-5801</t>
  </si>
  <si>
    <t>065-86-7908</t>
  </si>
  <si>
    <t>059-58-8753</t>
  </si>
  <si>
    <t>094-42-9972</t>
  </si>
  <si>
    <t>088-80-0217</t>
  </si>
  <si>
    <t>092-84-3486</t>
  </si>
  <si>
    <t>539-80-7707</t>
  </si>
  <si>
    <t>199-72-5029</t>
  </si>
  <si>
    <t>897-74-5196</t>
  </si>
  <si>
    <t>410-02-2851</t>
  </si>
  <si>
    <t>062-96-2638</t>
  </si>
  <si>
    <t>132-78-9487</t>
  </si>
  <si>
    <t>104-80-4366</t>
  </si>
  <si>
    <t>052-70-2200</t>
  </si>
  <si>
    <t>051-42-6550</t>
  </si>
  <si>
    <t>115-56-5351</t>
  </si>
  <si>
    <t>584-63-1887</t>
  </si>
  <si>
    <t>021-96-2319</t>
  </si>
  <si>
    <t>076-68-8940</t>
  </si>
  <si>
    <t>731-09-6662</t>
  </si>
  <si>
    <t>062-66-7136</t>
  </si>
  <si>
    <t>064-68-5945</t>
  </si>
  <si>
    <t>133-90-6751</t>
  </si>
  <si>
    <t>126-56-2886</t>
  </si>
  <si>
    <t>052-88-3716</t>
  </si>
  <si>
    <t>132-64-8457</t>
  </si>
  <si>
    <t>493-82-1591</t>
  </si>
  <si>
    <t>063-84-0178</t>
  </si>
  <si>
    <t>085-54-4113</t>
  </si>
  <si>
    <t>087-58-0320</t>
  </si>
  <si>
    <t>592-01-5115</t>
  </si>
  <si>
    <t>115-68-0000</t>
  </si>
  <si>
    <t>075-78-2779</t>
  </si>
  <si>
    <t>124-60-3161</t>
  </si>
  <si>
    <t>094-72-1198</t>
  </si>
  <si>
    <t>063-02-9255</t>
  </si>
  <si>
    <t>088-86-0445</t>
  </si>
  <si>
    <t>128-74-9166</t>
  </si>
  <si>
    <t>100-62-5332</t>
  </si>
  <si>
    <t>055-60-6864</t>
  </si>
  <si>
    <t>121-46-0804</t>
  </si>
  <si>
    <t>114-66-6461</t>
  </si>
  <si>
    <t>076-56-2851</t>
  </si>
  <si>
    <t>334-23-8836</t>
  </si>
  <si>
    <t>071-36-7000</t>
  </si>
  <si>
    <t>713-06-5638</t>
  </si>
  <si>
    <t>099-86-8767</t>
  </si>
  <si>
    <t>000-00-0092</t>
  </si>
  <si>
    <t>093-74-0640</t>
  </si>
  <si>
    <t>102-88-4588</t>
  </si>
  <si>
    <t>035-58-1833</t>
  </si>
  <si>
    <t>054-90-3786</t>
  </si>
  <si>
    <t>069-62-5924</t>
  </si>
  <si>
    <t>120-68-9025</t>
  </si>
  <si>
    <t>336-61-5181</t>
  </si>
  <si>
    <t>083-78-6925</t>
  </si>
  <si>
    <t>075-44-4119</t>
  </si>
  <si>
    <t>683-80-1255</t>
  </si>
  <si>
    <t>755-94-5189</t>
  </si>
  <si>
    <t>078-88-1400</t>
  </si>
  <si>
    <t>106-66-9779</t>
  </si>
  <si>
    <t>060-76-0380</t>
  </si>
  <si>
    <t>100-66-5803</t>
  </si>
  <si>
    <t>122-40-0436</t>
  </si>
  <si>
    <t>096-02-6811</t>
  </si>
  <si>
    <t>069-80-7288</t>
  </si>
  <si>
    <t>078-74-9676</t>
  </si>
  <si>
    <t>090-64-3099</t>
  </si>
  <si>
    <t>130-70-4350</t>
  </si>
  <si>
    <t>126-62-1884</t>
  </si>
  <si>
    <t>128-44-8364</t>
  </si>
  <si>
    <t>065-27-3744</t>
  </si>
  <si>
    <t>057-62-5947</t>
  </si>
  <si>
    <t>076-90-9135</t>
  </si>
  <si>
    <t>070-80-8844</t>
  </si>
  <si>
    <t>134-72-4348</t>
  </si>
  <si>
    <t>079-58-4716</t>
  </si>
  <si>
    <t>121-86-9474</t>
  </si>
  <si>
    <t>115-70-6241</t>
  </si>
  <si>
    <t>067-84-2888</t>
  </si>
  <si>
    <t>060-80-1275</t>
  </si>
  <si>
    <t>103-52-3573</t>
  </si>
  <si>
    <t>109-54-3293</t>
  </si>
  <si>
    <t>715-29-9958</t>
  </si>
  <si>
    <t>023-64-7040</t>
  </si>
  <si>
    <t>066-74-9297</t>
  </si>
  <si>
    <t>094-48-5665</t>
  </si>
  <si>
    <t>102-96-2939</t>
  </si>
  <si>
    <t>106-78-7357</t>
  </si>
  <si>
    <t>341-55-8693</t>
  </si>
  <si>
    <t>078-56-0753</t>
  </si>
  <si>
    <t>117-76-1231</t>
  </si>
  <si>
    <t>114-72-0509</t>
  </si>
  <si>
    <t>091-02-4881</t>
  </si>
  <si>
    <t>086-66-3542</t>
  </si>
  <si>
    <t>247-11-5210</t>
  </si>
  <si>
    <t>121-78-6903</t>
  </si>
  <si>
    <t>100-82-8540</t>
  </si>
  <si>
    <t>082-56-1564</t>
  </si>
  <si>
    <t>096-56-3621</t>
  </si>
  <si>
    <t>119-48-4583</t>
  </si>
  <si>
    <t>138-94-0078</t>
  </si>
  <si>
    <t>062-86-3183</t>
  </si>
  <si>
    <t>054-70-7818</t>
  </si>
  <si>
    <t>093-64-0179</t>
  </si>
  <si>
    <t>113-48-9822</t>
  </si>
  <si>
    <t>000-00-4457</t>
  </si>
  <si>
    <t>071-48-1101</t>
  </si>
  <si>
    <t>126-56-4294</t>
  </si>
  <si>
    <t>131-72-1105</t>
  </si>
  <si>
    <t>428-15-3085</t>
  </si>
  <si>
    <t>000-00-5228</t>
  </si>
  <si>
    <t>393-75-4977</t>
  </si>
  <si>
    <t>591-33-5564</t>
  </si>
  <si>
    <t>063-94-9119</t>
  </si>
  <si>
    <t>090-84-9240</t>
  </si>
  <si>
    <t>120-76-8774</t>
  </si>
  <si>
    <t>597-22-8635</t>
  </si>
  <si>
    <t>101-66-9277</t>
  </si>
  <si>
    <t>114-78-0529</t>
  </si>
  <si>
    <t>092-52-4713</t>
  </si>
  <si>
    <t>086-64-0465</t>
  </si>
  <si>
    <t>124-74-8733</t>
  </si>
  <si>
    <t>580-12-4986</t>
  </si>
  <si>
    <t>733-05-3189</t>
  </si>
  <si>
    <t>597-01-1090</t>
  </si>
  <si>
    <t>045-78-8615</t>
  </si>
  <si>
    <t>116-80-6090</t>
  </si>
  <si>
    <t>488-33-3240</t>
  </si>
  <si>
    <t>240-68-5265</t>
  </si>
  <si>
    <t>053-94-7031</t>
  </si>
  <si>
    <t>843-70-0940</t>
  </si>
  <si>
    <t>851-89-3163</t>
  </si>
  <si>
    <t>090-98-9310</t>
  </si>
  <si>
    <t>108-60-2870</t>
  </si>
  <si>
    <t>071-36-7852</t>
  </si>
  <si>
    <t>064-76-4850</t>
  </si>
  <si>
    <t>056-62-8052</t>
  </si>
  <si>
    <t>130-62-6797</t>
  </si>
  <si>
    <t>118-66-7321</t>
  </si>
  <si>
    <t>071-98-3351</t>
  </si>
  <si>
    <t>055-68-1924</t>
  </si>
  <si>
    <t>077-58-1358</t>
  </si>
  <si>
    <t>117-68-4025</t>
  </si>
  <si>
    <t>110-44-4092</t>
  </si>
  <si>
    <t>089-98-6673</t>
  </si>
  <si>
    <t>051-72-6086</t>
  </si>
  <si>
    <t>652-92-7053</t>
  </si>
  <si>
    <t>095-72-8027</t>
  </si>
  <si>
    <t>111-66-9271</t>
  </si>
  <si>
    <t>061-76-5040</t>
  </si>
  <si>
    <t>746-66-6569</t>
  </si>
  <si>
    <t>076-66-6761</t>
  </si>
  <si>
    <t>057-02-6578</t>
  </si>
  <si>
    <t>731-05-0302</t>
  </si>
  <si>
    <t>082-84-2195</t>
  </si>
  <si>
    <t>085-60-7941</t>
  </si>
  <si>
    <t>100-58-3180</t>
  </si>
  <si>
    <t>134-46-9620</t>
  </si>
  <si>
    <t>066-62-0462</t>
  </si>
  <si>
    <t>560-41-9648</t>
  </si>
  <si>
    <t>155-04-3679</t>
  </si>
  <si>
    <t>118-66-3109</t>
  </si>
  <si>
    <t>128-56-1362</t>
  </si>
  <si>
    <t>593-96-7088</t>
  </si>
  <si>
    <t>099-64-9076</t>
  </si>
  <si>
    <t>061-36-9896</t>
  </si>
  <si>
    <t>113-66-7844</t>
  </si>
  <si>
    <t>068-78-2655</t>
  </si>
  <si>
    <t>731-12-1545</t>
  </si>
  <si>
    <t>603-28-0534</t>
  </si>
  <si>
    <t>116-56-5909</t>
  </si>
  <si>
    <t>119-66-4869</t>
  </si>
  <si>
    <t>872-43-1243</t>
  </si>
  <si>
    <t>083-66-5169</t>
  </si>
  <si>
    <t>188-82-1129</t>
  </si>
  <si>
    <t>468-41-8253</t>
  </si>
  <si>
    <t>115-70-6626</t>
  </si>
  <si>
    <t>155-96-1318</t>
  </si>
  <si>
    <t>501-43-8377</t>
  </si>
  <si>
    <t>663-12-2548</t>
  </si>
  <si>
    <t>076-96-1052</t>
  </si>
  <si>
    <t>109-68-2398</t>
  </si>
  <si>
    <t>107-70-4564</t>
  </si>
  <si>
    <t>071-72-7903</t>
  </si>
  <si>
    <t>094-56-2685</t>
  </si>
  <si>
    <t>103-64-9152</t>
  </si>
  <si>
    <t>071-72-5696</t>
  </si>
  <si>
    <t>084-78-2355</t>
  </si>
  <si>
    <t>099-92-6036</t>
  </si>
  <si>
    <t>120-98-6288</t>
  </si>
  <si>
    <t>116-44-7987</t>
  </si>
  <si>
    <t>071-52-0551</t>
  </si>
  <si>
    <t>082-02-8756</t>
  </si>
  <si>
    <t>088-58-3749</t>
  </si>
  <si>
    <t>057-56-2488</t>
  </si>
  <si>
    <t>112-76-3848</t>
  </si>
  <si>
    <t>043-96-7966</t>
  </si>
  <si>
    <t>038-75-9646</t>
  </si>
  <si>
    <t>623-08-2052</t>
  </si>
  <si>
    <t>071-80-6860</t>
  </si>
  <si>
    <t>108-90-7617</t>
  </si>
  <si>
    <t>134-54-1177</t>
  </si>
  <si>
    <t>119-78-8916</t>
  </si>
  <si>
    <t>092-66-5344</t>
  </si>
  <si>
    <t>121-56-5454</t>
  </si>
  <si>
    <t>092-74-5206</t>
  </si>
  <si>
    <t>107-74-0188</t>
  </si>
  <si>
    <t>053-80-7348</t>
  </si>
  <si>
    <t>051-50-9673</t>
  </si>
  <si>
    <t>107-56-4358</t>
  </si>
  <si>
    <t>098-78-9042</t>
  </si>
  <si>
    <t>134-76-1417</t>
  </si>
  <si>
    <t>016-39-8806</t>
  </si>
  <si>
    <t>102-70-0396</t>
  </si>
  <si>
    <t>050-48-3676</t>
  </si>
  <si>
    <t>000-00-0870</t>
  </si>
  <si>
    <t>102-76-7155</t>
  </si>
  <si>
    <t>134-76-4540</t>
  </si>
  <si>
    <t>092-88-4650</t>
  </si>
  <si>
    <t>098-84-3035</t>
  </si>
  <si>
    <t>083-58-8338</t>
  </si>
  <si>
    <t>092-64-3498</t>
  </si>
  <si>
    <t>055-50-8824</t>
  </si>
  <si>
    <t>090-84-0518</t>
  </si>
  <si>
    <t>594-97-6380</t>
  </si>
  <si>
    <t>097-72-8905</t>
  </si>
  <si>
    <t>416-92-4453</t>
  </si>
  <si>
    <t>090-68-8895</t>
  </si>
  <si>
    <t>100-58-8528</t>
  </si>
  <si>
    <t>059-76-4912</t>
  </si>
  <si>
    <t>128-56-2372</t>
  </si>
  <si>
    <t>426-72-3132</t>
  </si>
  <si>
    <t>050-90-5438</t>
  </si>
  <si>
    <t>075-58-6652</t>
  </si>
  <si>
    <t>127-58-6977</t>
  </si>
  <si>
    <t>703-98-9757</t>
  </si>
  <si>
    <t>083-54-4926</t>
  </si>
  <si>
    <t>093-84-5584</t>
  </si>
  <si>
    <t>103-92-3588</t>
  </si>
  <si>
    <t>101-58-0972</t>
  </si>
  <si>
    <t>095-72-1137</t>
  </si>
  <si>
    <t>121-70-8148</t>
  </si>
  <si>
    <t>245-99-6379</t>
  </si>
  <si>
    <t>067-90-2570</t>
  </si>
  <si>
    <t>100-46-9122</t>
  </si>
  <si>
    <t>063-60-9597</t>
  </si>
  <si>
    <t>216-31-1544</t>
  </si>
  <si>
    <t>496-80-9334</t>
  </si>
  <si>
    <t>110-74-6451</t>
  </si>
  <si>
    <t>114-68-3242</t>
  </si>
  <si>
    <t>124-38-0837</t>
  </si>
  <si>
    <t>093-82-5934</t>
  </si>
  <si>
    <t>132-64-9975</t>
  </si>
  <si>
    <t>121-74-4306</t>
  </si>
  <si>
    <t>121-64-1047</t>
  </si>
  <si>
    <t>131-74-4229</t>
  </si>
  <si>
    <t>119-68-6447</t>
  </si>
  <si>
    <t>250-70-0191</t>
  </si>
  <si>
    <t>040-72-1332</t>
  </si>
  <si>
    <t>006-90-3664</t>
  </si>
  <si>
    <t>064-82-8614</t>
  </si>
  <si>
    <t>129-78-9305</t>
  </si>
  <si>
    <t>101-60-8108</t>
  </si>
  <si>
    <t>092-80-5892</t>
  </si>
  <si>
    <t>128-78-6484</t>
  </si>
  <si>
    <t>056-88-8398</t>
  </si>
  <si>
    <t>584-29-7650</t>
  </si>
  <si>
    <t>083-74-6992</t>
  </si>
  <si>
    <t>105-86-2222</t>
  </si>
  <si>
    <t>127-74-3762</t>
  </si>
  <si>
    <t>063-82-5458</t>
  </si>
  <si>
    <t>101-58-1949</t>
  </si>
  <si>
    <t>118-54-2329</t>
  </si>
  <si>
    <t>114-50-2811</t>
  </si>
  <si>
    <t>112-84-9604</t>
  </si>
  <si>
    <t>171-74-3102</t>
  </si>
  <si>
    <t>000-00-9959</t>
  </si>
  <si>
    <t>068-66-2227</t>
  </si>
  <si>
    <t>074-56-3726</t>
  </si>
  <si>
    <t>109-98-0954</t>
  </si>
  <si>
    <t>961-82-1954</t>
  </si>
  <si>
    <t>256-66-2357</t>
  </si>
  <si>
    <t>095-52-2435</t>
  </si>
  <si>
    <t>582-75-0639</t>
  </si>
  <si>
    <t>097-36-6394</t>
  </si>
  <si>
    <t>050-50-4295</t>
  </si>
  <si>
    <t>069-84-7908</t>
  </si>
  <si>
    <t>294-08-6631</t>
  </si>
  <si>
    <t>362-78-6987</t>
  </si>
  <si>
    <t>051-62-2602</t>
  </si>
  <si>
    <t>076-96-4588</t>
  </si>
  <si>
    <t>098-58-9907</t>
  </si>
  <si>
    <t>590-65-6466</t>
  </si>
  <si>
    <t>069-82-1440</t>
  </si>
  <si>
    <t>078-60-9493</t>
  </si>
  <si>
    <t>674-61-5452</t>
  </si>
  <si>
    <t>078-60-4309</t>
  </si>
  <si>
    <t>073-76-4651</t>
  </si>
  <si>
    <t>129-96-2721</t>
  </si>
  <si>
    <t>112-60-0630</t>
  </si>
  <si>
    <t>597-22-1405</t>
  </si>
  <si>
    <t>087-98-7369</t>
  </si>
  <si>
    <t>073-70-3402</t>
  </si>
  <si>
    <t>128-62-1453</t>
  </si>
  <si>
    <t>052-96-1447</t>
  </si>
  <si>
    <t>073-98-4519</t>
  </si>
  <si>
    <t>064-50-9043</t>
  </si>
  <si>
    <t>233-11-8470</t>
  </si>
  <si>
    <t>663-97-3887</t>
  </si>
  <si>
    <t>145-13-2292</t>
  </si>
  <si>
    <t>674-22-9141</t>
  </si>
  <si>
    <t>656-12-1761</t>
  </si>
  <si>
    <t>118-46-8342</t>
  </si>
  <si>
    <t>122-64-3210</t>
  </si>
  <si>
    <t>046-15-6681</t>
  </si>
  <si>
    <t>104-73-1176</t>
  </si>
  <si>
    <t>074-62-1640</t>
  </si>
  <si>
    <t>139-92-8812</t>
  </si>
  <si>
    <t>395-84-8357</t>
  </si>
  <si>
    <t>139-68-0535</t>
  </si>
  <si>
    <t>053-70-2265</t>
  </si>
  <si>
    <t>100-50-6202</t>
  </si>
  <si>
    <t>099-96-3327</t>
  </si>
  <si>
    <t>128-82-8527</t>
  </si>
  <si>
    <t>043-40-9912</t>
  </si>
  <si>
    <t>105-58-3467</t>
  </si>
  <si>
    <t>035-38-1241</t>
  </si>
  <si>
    <t>057-58-0003</t>
  </si>
  <si>
    <t>113-52-3165</t>
  </si>
  <si>
    <t>133-52-9402</t>
  </si>
  <si>
    <t>081-60-1915</t>
  </si>
  <si>
    <t>056-94-1106</t>
  </si>
  <si>
    <t>039-94-3421</t>
  </si>
  <si>
    <t>092-70-5036</t>
  </si>
  <si>
    <t>088-94-9519</t>
  </si>
  <si>
    <t>073-28-5641</t>
  </si>
  <si>
    <t>539-88-5760</t>
  </si>
  <si>
    <t>082-46-1276</t>
  </si>
  <si>
    <t>119-62-7666</t>
  </si>
  <si>
    <t>130-94-6350</t>
  </si>
  <si>
    <t>691-12-9598</t>
  </si>
  <si>
    <t>114-84-0270</t>
  </si>
  <si>
    <t>088-78-9683</t>
  </si>
  <si>
    <t>094-88-5321</t>
  </si>
  <si>
    <t>077-56-4827</t>
  </si>
  <si>
    <t>094-82-1816</t>
  </si>
  <si>
    <t>053-86-3900</t>
  </si>
  <si>
    <t>099-92-6166</t>
  </si>
  <si>
    <t>112-60-3917</t>
  </si>
  <si>
    <t>120-48-2374</t>
  </si>
  <si>
    <t>079-86-4222</t>
  </si>
  <si>
    <t>055-60-2450</t>
  </si>
  <si>
    <t>070-70-8064</t>
  </si>
  <si>
    <t>073-62-1437</t>
  </si>
  <si>
    <t>132-66-0510</t>
  </si>
  <si>
    <t>080-70-9472</t>
  </si>
  <si>
    <t>080-88-7887</t>
  </si>
  <si>
    <t>051-66-5474</t>
  </si>
  <si>
    <t>111-80-4063</t>
  </si>
  <si>
    <t>085-60-3235</t>
  </si>
  <si>
    <t>120-72-3927</t>
  </si>
  <si>
    <t>066-94-7630</t>
  </si>
  <si>
    <t>591-84-1223</t>
  </si>
  <si>
    <t>125-76-4396</t>
  </si>
  <si>
    <t>081-88-2147</t>
  </si>
  <si>
    <t>087-66-7932</t>
  </si>
  <si>
    <t>582-96-2063</t>
  </si>
  <si>
    <t>126-72-2500</t>
  </si>
  <si>
    <t>080-72-1278</t>
  </si>
  <si>
    <t>034-96-6978</t>
  </si>
  <si>
    <t>087-64-1656</t>
  </si>
  <si>
    <t>427-23-9801</t>
  </si>
  <si>
    <t>124-62-2406</t>
  </si>
  <si>
    <t>071-76-9594</t>
  </si>
  <si>
    <t>118-98-0830</t>
  </si>
  <si>
    <t>074-66-4247</t>
  </si>
  <si>
    <t>072-70-1794</t>
  </si>
  <si>
    <t>416-70-5885</t>
  </si>
  <si>
    <t>111-58-9884</t>
  </si>
  <si>
    <t>125-44-2325</t>
  </si>
  <si>
    <t>106-60-3378</t>
  </si>
  <si>
    <t>056-82-0436</t>
  </si>
  <si>
    <t>108-88-5615</t>
  </si>
  <si>
    <t>066-58-5160</t>
  </si>
  <si>
    <t>103-58-3320</t>
  </si>
  <si>
    <t>012-60-9638</t>
  </si>
  <si>
    <t>092-89-4087</t>
  </si>
  <si>
    <t>817-52-0708</t>
  </si>
  <si>
    <t>052-86-8711</t>
  </si>
  <si>
    <t>729-03-3536</t>
  </si>
  <si>
    <t>594-08-4435</t>
  </si>
  <si>
    <t>610-89-0623</t>
  </si>
  <si>
    <t>123-72-3552</t>
  </si>
  <si>
    <t>096-40-8818</t>
  </si>
  <si>
    <t>062-58-7477</t>
  </si>
  <si>
    <t>073-13-2328</t>
  </si>
  <si>
    <t>000-00-8781</t>
  </si>
  <si>
    <t>125-50-9709</t>
  </si>
  <si>
    <t>103-92-8131</t>
  </si>
  <si>
    <t>101-64-9199</t>
  </si>
  <si>
    <t>100-70-2101</t>
  </si>
  <si>
    <t>090-58-8842</t>
  </si>
  <si>
    <t>101-78-7938</t>
  </si>
  <si>
    <t>070-46-4883</t>
  </si>
  <si>
    <t>052-76-7293</t>
  </si>
  <si>
    <t>108-56-8100</t>
  </si>
  <si>
    <t>583-30-1940</t>
  </si>
  <si>
    <t>827-32-7133</t>
  </si>
  <si>
    <t>536-59-1674</t>
  </si>
  <si>
    <t>099-66-9995</t>
  </si>
  <si>
    <t>124-60-5709</t>
  </si>
  <si>
    <t>056-62-0050</t>
  </si>
  <si>
    <t>097-76-7381</t>
  </si>
  <si>
    <t>115-50-9001</t>
  </si>
  <si>
    <t>047-44-4049</t>
  </si>
  <si>
    <t>074-34-2890</t>
  </si>
  <si>
    <t>059-62-4508</t>
  </si>
  <si>
    <t>084-40-3863</t>
  </si>
  <si>
    <t>080-68-4819</t>
  </si>
  <si>
    <t>125-72-9557</t>
  </si>
  <si>
    <t>078-76-4570</t>
  </si>
  <si>
    <t>104-46-2161</t>
  </si>
  <si>
    <t>124-64-0572</t>
  </si>
  <si>
    <t>170-38-3453</t>
  </si>
  <si>
    <t>114-92-7155</t>
  </si>
  <si>
    <t>109-48-6391</t>
  </si>
  <si>
    <t>065-26-1368</t>
  </si>
  <si>
    <t>464-06-7500</t>
  </si>
  <si>
    <t>097-02-6681</t>
  </si>
  <si>
    <t>092-88-9652</t>
  </si>
  <si>
    <t>083-54-8731</t>
  </si>
  <si>
    <t>142-17-3294</t>
  </si>
  <si>
    <t>347-99-1483</t>
  </si>
  <si>
    <t>112-86-8631</t>
  </si>
  <si>
    <t>112-98-0308</t>
  </si>
  <si>
    <t>084-88-4027</t>
  </si>
  <si>
    <t>872-10-0888</t>
  </si>
  <si>
    <t>102-66-3614</t>
  </si>
  <si>
    <t>118-52-1451</t>
  </si>
  <si>
    <t>096-44-6253</t>
  </si>
  <si>
    <t>062-74-1805</t>
  </si>
  <si>
    <t>057-72-7071</t>
  </si>
  <si>
    <t>720-74-5961</t>
  </si>
  <si>
    <t>097-84-0287</t>
  </si>
  <si>
    <t>108-62-9949</t>
  </si>
  <si>
    <t>118-74-5916</t>
  </si>
  <si>
    <t>106-48-9252</t>
  </si>
  <si>
    <t>095-84-4694</t>
  </si>
  <si>
    <t>087-96-7767</t>
  </si>
  <si>
    <t>210-50-8770</t>
  </si>
  <si>
    <t>625-40-8831</t>
  </si>
  <si>
    <t>065-68-3898</t>
  </si>
  <si>
    <t>064-82-5057</t>
  </si>
  <si>
    <t>128-66-9158</t>
  </si>
  <si>
    <t>874-30-4619</t>
  </si>
  <si>
    <t>731-60-2105</t>
  </si>
  <si>
    <t>105-48-7823</t>
  </si>
  <si>
    <t>105-64-0674</t>
  </si>
  <si>
    <t>064-62-2628</t>
  </si>
  <si>
    <t>090-44-8402</t>
  </si>
  <si>
    <t>106-54-2507</t>
  </si>
  <si>
    <t>085-50-4856</t>
  </si>
  <si>
    <t>085-44-9544</t>
  </si>
  <si>
    <t>075-80-0450</t>
  </si>
  <si>
    <t>085-98-4055</t>
  </si>
  <si>
    <t>111-86-3567</t>
  </si>
  <si>
    <t>103-90-6171</t>
  </si>
  <si>
    <t>101-58-4550</t>
  </si>
  <si>
    <t>117-24-5977</t>
  </si>
  <si>
    <t>064-78-7430</t>
  </si>
  <si>
    <t>732-09-1681</t>
  </si>
  <si>
    <t>120-54-5842</t>
  </si>
  <si>
    <t>055-96-2361</t>
  </si>
  <si>
    <t>102-54-8131</t>
  </si>
  <si>
    <t>055-55-3857</t>
  </si>
  <si>
    <t>000-00-4565</t>
  </si>
  <si>
    <t>124-60-8702</t>
  </si>
  <si>
    <t>000-00-9466</t>
  </si>
  <si>
    <t>000-00-1582</t>
  </si>
  <si>
    <t>127-80-0883</t>
  </si>
  <si>
    <t>104-62-6194</t>
  </si>
  <si>
    <t>096-58-8997</t>
  </si>
  <si>
    <t>116-86-2438</t>
  </si>
  <si>
    <t>714-22-7910</t>
  </si>
  <si>
    <t>894-15-6349</t>
  </si>
  <si>
    <t>060-74-5338</t>
  </si>
  <si>
    <t>115-76-4451</t>
  </si>
  <si>
    <t>124-48-6082</t>
  </si>
  <si>
    <t>076-68-7905</t>
  </si>
  <si>
    <t>116-68-5913</t>
  </si>
  <si>
    <t>115-56-2955</t>
  </si>
  <si>
    <t>065-58-1146</t>
  </si>
  <si>
    <t>106-90-8646</t>
  </si>
  <si>
    <t>128-90-6568</t>
  </si>
  <si>
    <t>566-79-1589</t>
  </si>
  <si>
    <t>096-92-6765</t>
  </si>
  <si>
    <t>115-66-2016</t>
  </si>
  <si>
    <t>134-58-0753</t>
  </si>
  <si>
    <t>069-78-7596</t>
  </si>
  <si>
    <t>122-78-2437</t>
  </si>
  <si>
    <t>107-68-5402</t>
  </si>
  <si>
    <t>104-58-7034</t>
  </si>
  <si>
    <t>388-77-2942</t>
  </si>
  <si>
    <t>100-82-7719</t>
  </si>
  <si>
    <t>598-12-3163</t>
  </si>
  <si>
    <t>120-68-7173</t>
  </si>
  <si>
    <t>166-84-8021</t>
  </si>
  <si>
    <t>102-90-2671</t>
  </si>
  <si>
    <t>073-58-8577</t>
  </si>
  <si>
    <t>113-64-8828</t>
  </si>
  <si>
    <t>082-60-0457</t>
  </si>
  <si>
    <t>596-32-2044</t>
  </si>
  <si>
    <t>131-88-9471</t>
  </si>
  <si>
    <t>182-82-9619</t>
  </si>
  <si>
    <t>084-72-6492</t>
  </si>
  <si>
    <t>861-97-2586</t>
  </si>
  <si>
    <t>066-44-6551</t>
  </si>
  <si>
    <t>059-78-3445</t>
  </si>
  <si>
    <t>094-84-0046</t>
  </si>
  <si>
    <t>071-74-9882</t>
  </si>
  <si>
    <t>134-60-7262</t>
  </si>
  <si>
    <t>131-58-4010</t>
  </si>
  <si>
    <t>090-92-8125</t>
  </si>
  <si>
    <t>126-44-8960</t>
  </si>
  <si>
    <t>714-90-4690</t>
  </si>
  <si>
    <t>455-87-4857</t>
  </si>
  <si>
    <t>117-68-2999</t>
  </si>
  <si>
    <t>898-09-8285</t>
  </si>
  <si>
    <t>132-54-1811</t>
  </si>
  <si>
    <t>101-86-5057</t>
  </si>
  <si>
    <t>093-60-3499</t>
  </si>
  <si>
    <t>580-17-1861</t>
  </si>
  <si>
    <t>113-56-3963</t>
  </si>
  <si>
    <t>128-66-6026</t>
  </si>
  <si>
    <t>074-72-0866</t>
  </si>
  <si>
    <t>615-52-9782</t>
  </si>
  <si>
    <t>095-72-4481</t>
  </si>
  <si>
    <t>721-64-1088</t>
  </si>
  <si>
    <t>083-56-1530</t>
  </si>
  <si>
    <t>226-51-3682</t>
  </si>
  <si>
    <t>064-70-8537</t>
  </si>
  <si>
    <t>215-31-6385</t>
  </si>
  <si>
    <t>124-58-1765</t>
  </si>
  <si>
    <t>861-32-3580</t>
  </si>
  <si>
    <t>128-78-7158</t>
  </si>
  <si>
    <t>420-84-2622</t>
  </si>
  <si>
    <t>565-63-5539</t>
  </si>
  <si>
    <t>052-02-2624</t>
  </si>
  <si>
    <t>108-76-3554</t>
  </si>
  <si>
    <t>062-76-6993</t>
  </si>
  <si>
    <t>059-60-0177</t>
  </si>
  <si>
    <t>095-82-1462</t>
  </si>
  <si>
    <t>108-96-5625</t>
  </si>
  <si>
    <t>076-90-9928</t>
  </si>
  <si>
    <t>073-68-8460</t>
  </si>
  <si>
    <t>083-86-7050</t>
  </si>
  <si>
    <t>078-70-8077</t>
  </si>
  <si>
    <t>050-76-0118</t>
  </si>
  <si>
    <t>082-70-0674</t>
  </si>
  <si>
    <t>052-94-9781</t>
  </si>
  <si>
    <t>386-59-7861</t>
  </si>
  <si>
    <t>061-68-7853</t>
  </si>
  <si>
    <t>065-92-7624</t>
  </si>
  <si>
    <t>888-88-1961</t>
  </si>
  <si>
    <t>071-58-1509</t>
  </si>
  <si>
    <t>073-98-2873</t>
  </si>
  <si>
    <t>108-78-3253</t>
  </si>
  <si>
    <t>105-86-8270</t>
  </si>
  <si>
    <t>182-94-9772</t>
  </si>
  <si>
    <t>103-94-4417</t>
  </si>
  <si>
    <t>810-42-3447</t>
  </si>
  <si>
    <t>087-70-0865</t>
  </si>
  <si>
    <t>057-96-9784</t>
  </si>
  <si>
    <t>061-64-4285</t>
  </si>
  <si>
    <t>644-16-5312</t>
  </si>
  <si>
    <t>116-54-6028</t>
  </si>
  <si>
    <t>051-64-3197</t>
  </si>
  <si>
    <t>089-62-2124</t>
  </si>
  <si>
    <t>884-66-2649</t>
  </si>
  <si>
    <t>115-98-0127</t>
  </si>
  <si>
    <t>265-99-1820</t>
  </si>
  <si>
    <t>119-76-7166</t>
  </si>
  <si>
    <t>104-54-8294</t>
  </si>
  <si>
    <t>582-95-8815</t>
  </si>
  <si>
    <t>115-86-1773</t>
  </si>
  <si>
    <t>123-86-2294</t>
  </si>
  <si>
    <t>057-34-1734</t>
  </si>
  <si>
    <t>279-19-1022</t>
  </si>
  <si>
    <t>069-68-2918</t>
  </si>
  <si>
    <t>109-48-0039</t>
  </si>
  <si>
    <t>126-66-0969</t>
  </si>
  <si>
    <t>066-86-0706</t>
  </si>
  <si>
    <t>060-94-6914</t>
  </si>
  <si>
    <t>064-74-6420</t>
  </si>
  <si>
    <t>103-74-6064</t>
  </si>
  <si>
    <t>116-76-8117</t>
  </si>
  <si>
    <t>028-65-3197</t>
  </si>
  <si>
    <t>070-98-6549</t>
  </si>
  <si>
    <t>107-60-0696</t>
  </si>
  <si>
    <t>693-79-9750</t>
  </si>
  <si>
    <t>978-76-6411</t>
  </si>
  <si>
    <t>596-44-2240</t>
  </si>
  <si>
    <t>130-98-6699</t>
  </si>
  <si>
    <t>057-46-2718</t>
  </si>
  <si>
    <t>103-70-2731</t>
  </si>
  <si>
    <t>050-64-2437</t>
  </si>
  <si>
    <t>515-57-0896</t>
  </si>
  <si>
    <t>468-59-8875</t>
  </si>
  <si>
    <t>071-74-2378</t>
  </si>
  <si>
    <t>087-56-1319</t>
  </si>
  <si>
    <t>053-86-1216</t>
  </si>
  <si>
    <t>255-49-5126</t>
  </si>
  <si>
    <t>124-60-9405</t>
  </si>
  <si>
    <t>089-78-3839</t>
  </si>
  <si>
    <t>596-42-7773</t>
  </si>
  <si>
    <t>131-64-5495</t>
  </si>
  <si>
    <t>117-56-7013</t>
  </si>
  <si>
    <t>072-62-6273</t>
  </si>
  <si>
    <t>063-62-0573</t>
  </si>
  <si>
    <t>070-76-6685</t>
  </si>
  <si>
    <t>077-50-9747</t>
  </si>
  <si>
    <t>063-68-4933</t>
  </si>
  <si>
    <t>122-62-0323</t>
  </si>
  <si>
    <t>075-50-3447</t>
  </si>
  <si>
    <t>092-60-7128</t>
  </si>
  <si>
    <t>584-87-9563</t>
  </si>
  <si>
    <t>767-07-7653</t>
  </si>
  <si>
    <t>143-46-3515</t>
  </si>
  <si>
    <t>107-84-2475</t>
  </si>
  <si>
    <t>108-48-5645</t>
  </si>
  <si>
    <t>102-58-4962</t>
  </si>
  <si>
    <t>065-74-0331</t>
  </si>
  <si>
    <t>087-88-2646</t>
  </si>
  <si>
    <t>074-70-8674</t>
  </si>
  <si>
    <t>128-70-9746</t>
  </si>
  <si>
    <t>095-56-7750</t>
  </si>
  <si>
    <t>131-56-2408</t>
  </si>
  <si>
    <t>059-84-4236</t>
  </si>
  <si>
    <t>540-49-1631</t>
  </si>
  <si>
    <t>119-82-3694</t>
  </si>
  <si>
    <t>080-74-9841</t>
  </si>
  <si>
    <t>599-44-2267</t>
  </si>
  <si>
    <t>772-88-9483</t>
  </si>
  <si>
    <t>121-66-5111</t>
  </si>
  <si>
    <t>353-29-8631</t>
  </si>
  <si>
    <t>000-00-0571</t>
  </si>
  <si>
    <t>084-42-6059</t>
  </si>
  <si>
    <t>072-58-6470</t>
  </si>
  <si>
    <t>112-56-1058</t>
  </si>
  <si>
    <t>Other Subsidized Housing</t>
  </si>
  <si>
    <t>Unregulated</t>
  </si>
  <si>
    <t>Unknown</t>
  </si>
  <si>
    <t>Public Housing/NYCHA</t>
  </si>
  <si>
    <t>Rent Stabilized</t>
  </si>
  <si>
    <t>Mitchell-Lama</t>
  </si>
  <si>
    <t>Rent Controlled</t>
  </si>
  <si>
    <t>Unregulated – Co-Op</t>
  </si>
  <si>
    <t>Low Income Tax Credit</t>
  </si>
  <si>
    <t>Unregulated – Other</t>
  </si>
  <si>
    <t>Project-based Sec. 8</t>
  </si>
  <si>
    <t>Public Housing</t>
  </si>
  <si>
    <t>Supportive Housing</t>
  </si>
  <si>
    <t>HDFC</t>
  </si>
  <si>
    <t>Section 8</t>
  </si>
  <si>
    <t>FEPS</t>
  </si>
  <si>
    <t>LINC</t>
  </si>
  <si>
    <t>HASA</t>
  </si>
  <si>
    <t>City FEPS</t>
  </si>
  <si>
    <t>DRIE/SCRIE</t>
  </si>
  <si>
    <t>SEPS</t>
  </si>
  <si>
    <t>HOMETBRA</t>
  </si>
  <si>
    <t>HUD VASH</t>
  </si>
  <si>
    <t>11/28/2016</t>
  </si>
  <si>
    <t>11/26/2016</t>
  </si>
  <si>
    <t>Income Waiver</t>
  </si>
  <si>
    <t>CAT1: HRA Referral</t>
  </si>
  <si>
    <t>FJC Waiver</t>
  </si>
  <si>
    <t>Zip Code Waiver</t>
  </si>
  <si>
    <t>CAT2: Housing Court Referral</t>
  </si>
  <si>
    <t>Spanish</t>
  </si>
  <si>
    <t>French Creole</t>
  </si>
  <si>
    <t>Finnish</t>
  </si>
  <si>
    <t>Bengali</t>
  </si>
  <si>
    <t xml:space="preserve">Chinese </t>
  </si>
  <si>
    <t>Creole</t>
  </si>
  <si>
    <t>Chinese/Mandarin</t>
  </si>
  <si>
    <t>Korean</t>
  </si>
  <si>
    <t>Arabic</t>
  </si>
  <si>
    <t>German</t>
  </si>
  <si>
    <t>Panjabi</t>
  </si>
  <si>
    <t>Japanese</t>
  </si>
  <si>
    <t>Polish</t>
  </si>
  <si>
    <t>Persian</t>
  </si>
  <si>
    <t>French</t>
  </si>
  <si>
    <t>Russian</t>
  </si>
  <si>
    <t>Dutch</t>
  </si>
  <si>
    <t>Hindi</t>
  </si>
  <si>
    <t>Hebrew</t>
  </si>
  <si>
    <t>Portuguese</t>
  </si>
  <si>
    <t>Mandarin</t>
  </si>
  <si>
    <t>Turkish</t>
  </si>
  <si>
    <t>Urdu</t>
  </si>
  <si>
    <t>Sign Language</t>
  </si>
  <si>
    <t>Chinese/Cantonese</t>
  </si>
  <si>
    <t>Rumanian</t>
  </si>
  <si>
    <t>hra income waiver granted</t>
  </si>
  <si>
    <t>COnsebt and DHCI 19-1897729</t>
  </si>
  <si>
    <t>Filed for an Emergency Order to Show Cause</t>
  </si>
  <si>
    <t>Counsel Assisted in Filing or Refiling of Answer</t>
  </si>
  <si>
    <t>Counsel Assisted in Filing or Refiling of Answer, Filed/Argued/Supplemented Dispositive or other Substantive Motion</t>
  </si>
  <si>
    <t>Filed/Argued/Supplemented Dispositive or other Substantive Motion</t>
  </si>
  <si>
    <t>Filed Appeal</t>
  </si>
  <si>
    <t>Filed/Argued/Supplemented Dispositive or other Substantive Motion, Filed for an Emergency Order to Show Cause</t>
  </si>
  <si>
    <t>Conducted Evidentiary Hearing</t>
  </si>
  <si>
    <t>Counsel Assisted in Filing or Refiling of Answer, Filed/Argued/Supplemented Dispositive or other Substantive Motion, Filed for an Emergency Order to Show Cause</t>
  </si>
  <si>
    <t>Commenced Trial</t>
  </si>
  <si>
    <t>Counsel Assisted in Filing or Refiling of Answer, Filed for an Emergency Order to Show Cause</t>
  </si>
  <si>
    <t>Case Discontinued/Dismissed/Landlord Fails to Prosecute</t>
  </si>
  <si>
    <t>Case Discontinued/Dismissed/Landlord Fails to Prosecute, Case Resolved without Judgment of Eviction Against Client</t>
  </si>
  <si>
    <t>Obtained Succession Rights to Residence, Other</t>
  </si>
  <si>
    <t>Case Discontinued/Dismissed/Landlord Fails to Prosecute, Case Resolved without Judgment of Eviction Against Client, Other</t>
  </si>
  <si>
    <t>Case Resolved without Judgment of Eviction Against Client</t>
  </si>
  <si>
    <t>Case Discontinued/Dismissed/Landlord Fails to Prosecute, Other</t>
  </si>
  <si>
    <t>Case Resolved without Judgment of Eviction Against Client, Obtained Negotiated Buyout, Other</t>
  </si>
  <si>
    <t>Case Resolved without Judgment of Eviction Against Client, Other</t>
  </si>
  <si>
    <t>Secured 6 Months or Longer in Residence</t>
  </si>
  <si>
    <t>Obtain Ongoing Rent Subsidy</t>
  </si>
  <si>
    <t>Case Discontinued/Dismissed/Landlord Fails to Prosecute, Case Resolved without Judgment of Eviction Against Client, Client Security Deposit Returned</t>
  </si>
  <si>
    <t>Obtain Ongoing Rent Subsidy, Other</t>
  </si>
  <si>
    <t>Obtained Negotiated Buyout</t>
  </si>
  <si>
    <t>Other, Restored Access to Personal Property</t>
  </si>
  <si>
    <t>Case Discontinued/Dismissed/Landlord Fails to Prosecute, Secured Rent Reduction</t>
  </si>
  <si>
    <t>Obtained Negotiated Buyout, Other</t>
  </si>
  <si>
    <t>Other, Secured 6 Months or Longer in Residence</t>
  </si>
  <si>
    <t>Case Discontinued/Dismissed/Landlord Fails to Prosecute, Case Resolved without Judgment of Eviction Against Client, Other, Secured Rent Reduction</t>
  </si>
  <si>
    <t>Obtained Renewal of Lease</t>
  </si>
  <si>
    <t>Case Resolved without Judgment of Eviction Against Client, Secured Order or Agreement for Repairs in Apartment/Building</t>
  </si>
  <si>
    <t>Case Resolved without Judgment of Eviction Against Client, Other, Secured 6 Months or Longer in Residence</t>
  </si>
  <si>
    <t>Case Discontinued/Dismissed/Landlord Fails to Prosecute, Other, Secured Order or Agreement for Repairs in Apartment/Building</t>
  </si>
  <si>
    <t>Case Discontinued/Dismissed/Landlord Fails to Prosecute, Case Resolved without Judgment of Eviction Against Client, Obtained Renewal of Lease, Other, Secured Order or Agreement for Repairs in Apartment/Building</t>
  </si>
  <si>
    <t>Case Resolved without Judgment of Eviction Against Client, Other, Secured 6 Months or Longer in Residence, Secured Order or Agreement for Repairs in Apartment/Building</t>
  </si>
  <si>
    <t>Case Discontinued/Dismissed/Landlord Fails to Prosecute, Obtain Ongoing Rent Subsidy, Other</t>
  </si>
  <si>
    <t>Case Discontinued/Dismissed/Landlord Fails to Prosecute, Secured Rent Abatement</t>
  </si>
  <si>
    <t>Case Resolved without Judgment of Eviction Against Client, Obtain Ongoing Rent Subsidy, Provided Housing-related Consumer Debt Legal Assistance</t>
  </si>
  <si>
    <t>Case Resolved without Judgment of Eviction Against Client, Obtain Ongoing Rent Subsidy, Other</t>
  </si>
  <si>
    <t>Case Discontinued/Dismissed/Landlord Fails to Prosecute, Obtain Ongoing Rent Subsidy</t>
  </si>
  <si>
    <t>Case Discontinued/Dismissed/Landlord Fails to Prosecute, Other, Secured Rent Abatement</t>
  </si>
  <si>
    <t>Client Security Deposit Returned</t>
  </si>
  <si>
    <t>Restored Access to Personal Property</t>
  </si>
  <si>
    <t>Case Discontinued/Dismissed/Landlord Fails to Prosecute, Obtained Renewal of Lease</t>
  </si>
  <si>
    <t>Client Allowed to Remain in Residence</t>
  </si>
  <si>
    <t>Client Required to be Displaced from Residence</t>
  </si>
  <si>
    <t>Attorney Withdrew</t>
  </si>
  <si>
    <t>Client Discharged Attorney</t>
  </si>
  <si>
    <t>2018-12-14</t>
  </si>
  <si>
    <t>2019-01-19</t>
  </si>
  <si>
    <t>2019-01-28</t>
  </si>
  <si>
    <t>2019-04-30</t>
  </si>
  <si>
    <t>2019-05-15</t>
  </si>
  <si>
    <t>2019-02-01</t>
  </si>
  <si>
    <t>2019-04-03</t>
  </si>
  <si>
    <t>2018-11-20</t>
  </si>
  <si>
    <t>2019-04-26</t>
  </si>
  <si>
    <t>2018-11-29</t>
  </si>
  <si>
    <t>2019-04-04</t>
  </si>
  <si>
    <t>2018-12-05</t>
  </si>
  <si>
    <t>2018-12-07</t>
  </si>
  <si>
    <t>2019-03-19</t>
  </si>
  <si>
    <t>2019-01-04</t>
  </si>
  <si>
    <t>2019-02-21</t>
  </si>
  <si>
    <t>2019-03-04</t>
  </si>
  <si>
    <t>5019-05-21</t>
  </si>
  <si>
    <t>2019-03-14</t>
  </si>
  <si>
    <t>2019-03-29</t>
  </si>
  <si>
    <t>2019-06-11</t>
  </si>
  <si>
    <t>2019-03-31</t>
  </si>
  <si>
    <t>2018-09-28</t>
  </si>
  <si>
    <t>2019-02-11</t>
  </si>
  <si>
    <t>2018-10-22</t>
  </si>
  <si>
    <t>2019-03-07</t>
  </si>
  <si>
    <t>2019-03-25</t>
  </si>
  <si>
    <t>2018-07-24</t>
  </si>
  <si>
    <t>2019-04-18</t>
  </si>
  <si>
    <t>2018-10-15</t>
  </si>
  <si>
    <t>2018-09-10</t>
  </si>
  <si>
    <t>2019-01-30</t>
  </si>
  <si>
    <t>2018-01-09</t>
  </si>
  <si>
    <t>2018-12-20</t>
  </si>
  <si>
    <t>2019-01-31</t>
  </si>
  <si>
    <t>2019-05-31</t>
  </si>
  <si>
    <t>2018-10-30</t>
  </si>
  <si>
    <t>2018-08-17</t>
  </si>
  <si>
    <t>2018-08-20</t>
  </si>
  <si>
    <t>2019-02-14</t>
  </si>
  <si>
    <t>2018-11-28</t>
  </si>
  <si>
    <t>2018-08-28</t>
  </si>
  <si>
    <t>2019-01-11</t>
  </si>
  <si>
    <t>2018-08-13</t>
  </si>
  <si>
    <t>2019-04-23</t>
  </si>
  <si>
    <t>2019-05-14</t>
  </si>
  <si>
    <t>2019-03-08</t>
  </si>
  <si>
    <t>2019-05-08</t>
  </si>
  <si>
    <t>2019-02-15</t>
  </si>
  <si>
    <t>2019-02-13</t>
  </si>
  <si>
    <t>2018-12-12</t>
  </si>
  <si>
    <t>2019-02-05</t>
  </si>
  <si>
    <t>2019-03-13</t>
  </si>
  <si>
    <t>2019-03-05</t>
  </si>
  <si>
    <t>2018-07-20</t>
  </si>
  <si>
    <t>2018-11-01</t>
  </si>
  <si>
    <t>2019-01-07</t>
  </si>
  <si>
    <t>2019-04-11</t>
  </si>
  <si>
    <t>2019-03-17</t>
  </si>
  <si>
    <t>2019-03-11</t>
  </si>
  <si>
    <t>2019-06-20</t>
  </si>
  <si>
    <t>2019-03-22</t>
  </si>
  <si>
    <t>2019-04-12</t>
  </si>
  <si>
    <t>2019-05-13</t>
  </si>
  <si>
    <t>2018-12-04</t>
  </si>
  <si>
    <t>2019-06-10</t>
  </si>
  <si>
    <t>2018-09-12</t>
  </si>
  <si>
    <t>2019-05-22</t>
  </si>
  <si>
    <t>2018-11-27</t>
  </si>
  <si>
    <t>2018-11-30</t>
  </si>
  <si>
    <t>2018-08-08</t>
  </si>
  <si>
    <t>2018-12-03</t>
  </si>
  <si>
    <t>2019-05-02</t>
  </si>
  <si>
    <t>2019-05-09</t>
  </si>
  <si>
    <t>2019-06-21</t>
  </si>
  <si>
    <t>2019-02-28</t>
  </si>
  <si>
    <t>2018-08-10</t>
  </si>
  <si>
    <t>2019-05-17</t>
  </si>
  <si>
    <t>2018-12-31</t>
  </si>
  <si>
    <t>2019-03-27</t>
  </si>
  <si>
    <t>2019-02-25</t>
  </si>
  <si>
    <t>2018-11-16</t>
  </si>
  <si>
    <t>2018-08-29</t>
  </si>
  <si>
    <t>2019-06-03</t>
  </si>
  <si>
    <t>2019-04-10</t>
  </si>
  <si>
    <t>2018-10-13</t>
  </si>
  <si>
    <t>2018-11-13</t>
  </si>
  <si>
    <t>2019-05-23</t>
  </si>
  <si>
    <t>2019-04-15</t>
  </si>
  <si>
    <t>2019-03-12</t>
  </si>
  <si>
    <t>2018-09-07</t>
  </si>
  <si>
    <t>2018-10-24</t>
  </si>
  <si>
    <t>2019-03-15</t>
  </si>
  <si>
    <t>2019-05-07</t>
  </si>
  <si>
    <t>2018-08-14</t>
  </si>
  <si>
    <t>2018-08-06</t>
  </si>
  <si>
    <t>2018-09-06</t>
  </si>
  <si>
    <t>2018-09-11</t>
  </si>
  <si>
    <t>2019-01-25</t>
  </si>
  <si>
    <t>2019-03-28</t>
  </si>
  <si>
    <t>2019-06-12</t>
  </si>
  <si>
    <t>2019-02-22</t>
  </si>
  <si>
    <t>2018-11-14</t>
  </si>
  <si>
    <t>2018-12-06</t>
  </si>
  <si>
    <t>2018-11-19</t>
  </si>
  <si>
    <t>2019-01-23</t>
  </si>
  <si>
    <t>2019-02-07</t>
  </si>
  <si>
    <t>2018-10-17</t>
  </si>
  <si>
    <t>2018-12-11</t>
  </si>
  <si>
    <t>2019-03-01</t>
  </si>
  <si>
    <t>2019-06-06</t>
  </si>
  <si>
    <t>2018-09-26</t>
  </si>
  <si>
    <t>2019-04-29</t>
  </si>
  <si>
    <t>2019-05-24</t>
  </si>
  <si>
    <t>2018-08-22</t>
  </si>
  <si>
    <t>2019-04-17</t>
  </si>
  <si>
    <t>2019-02-06</t>
  </si>
  <si>
    <t>2019-04-05</t>
  </si>
  <si>
    <t>2018-07-19</t>
  </si>
  <si>
    <t>2018-09-05</t>
  </si>
  <si>
    <t>2019-05-29</t>
  </si>
  <si>
    <t>2019-01-24</t>
  </si>
  <si>
    <t>2019-02-27</t>
  </si>
  <si>
    <t>2019-01-09</t>
  </si>
  <si>
    <t>2019-02-04</t>
  </si>
  <si>
    <t>2019-06-01</t>
  </si>
  <si>
    <t>2019-05-16</t>
  </si>
  <si>
    <t>2018-10-10</t>
  </si>
  <si>
    <t>2018-12-10</t>
  </si>
  <si>
    <t>2018-10-25</t>
  </si>
  <si>
    <t>2019-05-28</t>
  </si>
  <si>
    <t>2018-10-09</t>
  </si>
  <si>
    <t>2019-06-08</t>
  </si>
  <si>
    <t>2019-01-03</t>
  </si>
  <si>
    <t>2019-05-21</t>
  </si>
  <si>
    <t>2018-11-15</t>
  </si>
  <si>
    <t>2018-12-18</t>
  </si>
  <si>
    <t>2019-11-15</t>
  </si>
  <si>
    <t>2019-01-15</t>
  </si>
  <si>
    <t>2019-03-18</t>
  </si>
  <si>
    <t>2019-01-02</t>
  </si>
  <si>
    <t>2019-01-16</t>
  </si>
  <si>
    <t>2018-09-14</t>
  </si>
  <si>
    <t>2018-10-05</t>
  </si>
  <si>
    <t>2018-10-04</t>
  </si>
  <si>
    <t>2018-10-14</t>
  </si>
  <si>
    <t>2018-11-11</t>
  </si>
  <si>
    <t>2018-10-31</t>
  </si>
  <si>
    <t>2019-10-17</t>
  </si>
  <si>
    <t>2019-03-26</t>
  </si>
  <si>
    <t>2019-04-16</t>
  </si>
  <si>
    <t>2018-10-18</t>
  </si>
  <si>
    <t>2018-07-30</t>
  </si>
  <si>
    <t>2018-12-17</t>
  </si>
  <si>
    <t>2018-08-30</t>
  </si>
  <si>
    <t>2019-02-20</t>
  </si>
  <si>
    <t>2018-09-21</t>
  </si>
  <si>
    <t>2018-10-29</t>
  </si>
  <si>
    <t>2018-11-07</t>
  </si>
  <si>
    <t>2018-08-15</t>
  </si>
  <si>
    <t>2019-01-06</t>
  </si>
  <si>
    <t>2019-01-29</t>
  </si>
  <si>
    <t>2018-08-21</t>
  </si>
  <si>
    <t>2018-12-28</t>
  </si>
  <si>
    <t>2019-08-14</t>
  </si>
  <si>
    <t>2019-04-08</t>
  </si>
  <si>
    <t>2019-09-13</t>
  </si>
  <si>
    <t>2019-07-27</t>
  </si>
  <si>
    <t>2018-10-02</t>
  </si>
  <si>
    <t>2019-03-20</t>
  </si>
  <si>
    <t>2019-06-04</t>
  </si>
  <si>
    <t>2019-06-05</t>
  </si>
  <si>
    <t>2019-05-06</t>
  </si>
  <si>
    <t>2018-11-09</t>
  </si>
  <si>
    <t>Rodriguez, Ana</t>
  </si>
  <si>
    <t>Djourab, Atteib</t>
  </si>
  <si>
    <t>Pujols, Isabel</t>
  </si>
  <si>
    <t>Wong, Angela</t>
  </si>
  <si>
    <t>Amponsah, Oheneba</t>
  </si>
  <si>
    <t>Baldova, Maria</t>
  </si>
  <si>
    <t>Yeasmin, Sarzah</t>
  </si>
  <si>
    <t>Ortega, Luis</t>
  </si>
  <si>
    <t>Pierre, Haenley</t>
  </si>
  <si>
    <t>Khanam, Aysha</t>
  </si>
  <si>
    <t>Morace, Jana</t>
  </si>
  <si>
    <t>Guzman Velazquez, Leida</t>
  </si>
  <si>
    <t>Fernandez, Jennifer</t>
  </si>
  <si>
    <t>Villanueva, Anthony</t>
  </si>
  <si>
    <t>Dong, Sean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</si>
</sst>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1597"/>
  <sheetViews>
    <sheetView tabSelected="1" workbookViewId="0"/>
  </sheetViews>
  <sheetFormatPr defaultRowHeight="15"/>
  <cols>
    <col min="1" max="1" width="20.7109375" style="1" customWidth="1"/>
  </cols>
  <sheetData>
    <row r="1" spans="1: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>
      <c r="A2" s="1">
        <f>HYPERLINK("https://cms.ls-nyc.org/matter/dynamic-profile/view/1880810","18-1880810")</f>
        <v>0</v>
      </c>
      <c r="B2" t="s">
        <v>49</v>
      </c>
      <c r="C2" t="s">
        <v>82</v>
      </c>
      <c r="D2" t="s">
        <v>84</v>
      </c>
      <c r="E2" t="s">
        <v>158</v>
      </c>
      <c r="F2" t="s">
        <v>315</v>
      </c>
      <c r="G2" t="s">
        <v>1374</v>
      </c>
      <c r="H2" t="s">
        <v>2492</v>
      </c>
      <c r="I2" t="s">
        <v>3838</v>
      </c>
      <c r="J2" t="s">
        <v>4222</v>
      </c>
      <c r="K2">
        <v>11434</v>
      </c>
      <c r="L2" t="s">
        <v>4275</v>
      </c>
      <c r="M2" t="s">
        <v>4275</v>
      </c>
      <c r="O2" t="s">
        <v>4281</v>
      </c>
      <c r="P2" t="s">
        <v>4285</v>
      </c>
      <c r="Q2" t="s">
        <v>5731</v>
      </c>
      <c r="R2" t="s">
        <v>5751</v>
      </c>
      <c r="S2" t="s">
        <v>5758</v>
      </c>
      <c r="T2" t="s">
        <v>4276</v>
      </c>
      <c r="V2" t="s">
        <v>5767</v>
      </c>
      <c r="W2" t="s">
        <v>5771</v>
      </c>
      <c r="X2" t="s">
        <v>84</v>
      </c>
      <c r="Y2">
        <v>1031.47</v>
      </c>
      <c r="Z2" t="s">
        <v>5803</v>
      </c>
      <c r="AA2" t="s">
        <v>5804</v>
      </c>
      <c r="AB2" t="s">
        <v>5820</v>
      </c>
      <c r="AC2" t="s">
        <v>5830</v>
      </c>
      <c r="AD2" t="s">
        <v>7279</v>
      </c>
      <c r="AE2" t="s">
        <v>7848</v>
      </c>
      <c r="AF2">
        <v>293</v>
      </c>
      <c r="AG2" t="s">
        <v>9268</v>
      </c>
      <c r="AH2" t="s">
        <v>4280</v>
      </c>
      <c r="AI2">
        <v>5</v>
      </c>
      <c r="AJ2">
        <v>1</v>
      </c>
      <c r="AK2">
        <v>0</v>
      </c>
      <c r="AL2">
        <v>0</v>
      </c>
      <c r="AO2" t="s">
        <v>1425</v>
      </c>
      <c r="AP2">
        <v>0</v>
      </c>
      <c r="AS2" t="s">
        <v>9336</v>
      </c>
      <c r="AT2" t="s">
        <v>9369</v>
      </c>
      <c r="AU2" t="s">
        <v>9373</v>
      </c>
      <c r="AV2">
        <v>9.800000000000001</v>
      </c>
      <c r="AW2" t="s">
        <v>73</v>
      </c>
    </row>
    <row r="3" spans="1:49">
      <c r="A3" s="1">
        <f>HYPERLINK("https://cms.ls-nyc.org/matter/dynamic-profile/view/1874938","18-1874938")</f>
        <v>0</v>
      </c>
      <c r="B3" t="s">
        <v>49</v>
      </c>
      <c r="C3" t="s">
        <v>83</v>
      </c>
      <c r="D3" t="s">
        <v>85</v>
      </c>
      <c r="F3" t="s">
        <v>316</v>
      </c>
      <c r="G3" t="s">
        <v>1375</v>
      </c>
      <c r="H3" t="s">
        <v>2493</v>
      </c>
      <c r="I3" t="s">
        <v>3839</v>
      </c>
      <c r="J3" t="s">
        <v>4222</v>
      </c>
      <c r="K3">
        <v>11433</v>
      </c>
      <c r="L3" t="s">
        <v>4275</v>
      </c>
      <c r="M3" t="s">
        <v>4275</v>
      </c>
      <c r="O3" t="s">
        <v>4281</v>
      </c>
      <c r="P3" t="s">
        <v>4286</v>
      </c>
      <c r="Q3" t="s">
        <v>5732</v>
      </c>
      <c r="R3" t="s">
        <v>5751</v>
      </c>
      <c r="T3" t="s">
        <v>4275</v>
      </c>
      <c r="V3" t="s">
        <v>5767</v>
      </c>
      <c r="W3" t="s">
        <v>5772</v>
      </c>
      <c r="X3" t="s">
        <v>85</v>
      </c>
      <c r="Y3">
        <v>600</v>
      </c>
      <c r="Z3" t="s">
        <v>5803</v>
      </c>
      <c r="AA3" t="s">
        <v>5804</v>
      </c>
      <c r="AC3" t="s">
        <v>5831</v>
      </c>
      <c r="AE3" t="s">
        <v>7849</v>
      </c>
      <c r="AF3">
        <v>4</v>
      </c>
      <c r="AG3" t="s">
        <v>9269</v>
      </c>
      <c r="AH3" t="s">
        <v>4280</v>
      </c>
      <c r="AI3">
        <v>4</v>
      </c>
      <c r="AJ3">
        <v>2</v>
      </c>
      <c r="AK3">
        <v>0</v>
      </c>
      <c r="AL3">
        <v>0</v>
      </c>
      <c r="AO3" t="s">
        <v>1425</v>
      </c>
      <c r="AP3">
        <v>0</v>
      </c>
      <c r="AT3" t="s">
        <v>9370</v>
      </c>
      <c r="AU3" t="s">
        <v>9374</v>
      </c>
      <c r="AV3">
        <v>16</v>
      </c>
      <c r="AW3" t="s">
        <v>54</v>
      </c>
    </row>
    <row r="4" spans="1:49">
      <c r="A4" s="1">
        <f>HYPERLINK("https://cms.ls-nyc.org/matter/dynamic-profile/view/1884043","18-1884043")</f>
        <v>0</v>
      </c>
      <c r="B4" t="s">
        <v>49</v>
      </c>
      <c r="C4" t="s">
        <v>82</v>
      </c>
      <c r="D4" t="s">
        <v>86</v>
      </c>
      <c r="E4" t="s">
        <v>100</v>
      </c>
      <c r="F4" t="s">
        <v>317</v>
      </c>
      <c r="G4" t="s">
        <v>1376</v>
      </c>
      <c r="H4" t="s">
        <v>2494</v>
      </c>
      <c r="I4" t="s">
        <v>3840</v>
      </c>
      <c r="J4" t="s">
        <v>4223</v>
      </c>
      <c r="K4">
        <v>11423</v>
      </c>
      <c r="L4" t="s">
        <v>4275</v>
      </c>
      <c r="M4" t="s">
        <v>4275</v>
      </c>
      <c r="O4" t="s">
        <v>4282</v>
      </c>
      <c r="P4" t="s">
        <v>4287</v>
      </c>
      <c r="Q4" t="s">
        <v>5731</v>
      </c>
      <c r="R4" t="s">
        <v>5751</v>
      </c>
      <c r="S4" t="s">
        <v>5758</v>
      </c>
      <c r="T4" t="s">
        <v>4276</v>
      </c>
      <c r="V4" t="s">
        <v>5767</v>
      </c>
      <c r="W4" t="s">
        <v>5771</v>
      </c>
      <c r="X4" t="s">
        <v>303</v>
      </c>
      <c r="Y4">
        <v>866</v>
      </c>
      <c r="Z4" t="s">
        <v>5803</v>
      </c>
      <c r="AA4" t="s">
        <v>5804</v>
      </c>
      <c r="AB4" t="s">
        <v>5820</v>
      </c>
      <c r="AC4" t="s">
        <v>5832</v>
      </c>
      <c r="AD4" t="s">
        <v>7280</v>
      </c>
      <c r="AE4" t="s">
        <v>7850</v>
      </c>
      <c r="AF4">
        <v>60</v>
      </c>
      <c r="AG4" t="s">
        <v>9270</v>
      </c>
      <c r="AH4" t="s">
        <v>4280</v>
      </c>
      <c r="AI4">
        <v>10</v>
      </c>
      <c r="AJ4">
        <v>1</v>
      </c>
      <c r="AK4">
        <v>1</v>
      </c>
      <c r="AL4">
        <v>0</v>
      </c>
      <c r="AO4" t="s">
        <v>1425</v>
      </c>
      <c r="AP4">
        <v>0</v>
      </c>
      <c r="AR4" t="s">
        <v>9326</v>
      </c>
      <c r="AS4" t="s">
        <v>9336</v>
      </c>
      <c r="AT4" t="s">
        <v>9369</v>
      </c>
      <c r="AU4" t="s">
        <v>9375</v>
      </c>
      <c r="AV4">
        <v>5.3</v>
      </c>
      <c r="AW4" t="s">
        <v>54</v>
      </c>
    </row>
    <row r="5" spans="1:49">
      <c r="A5" s="1">
        <f>HYPERLINK("https://cms.ls-nyc.org/matter/dynamic-profile/view/1900668","19-1900668")</f>
        <v>0</v>
      </c>
      <c r="B5" t="s">
        <v>49</v>
      </c>
      <c r="C5" t="s">
        <v>83</v>
      </c>
      <c r="D5" t="s">
        <v>87</v>
      </c>
      <c r="F5" t="s">
        <v>318</v>
      </c>
      <c r="G5" t="s">
        <v>1377</v>
      </c>
      <c r="H5" t="s">
        <v>2495</v>
      </c>
      <c r="J5" t="s">
        <v>4224</v>
      </c>
      <c r="K5">
        <v>11419</v>
      </c>
      <c r="L5" t="s">
        <v>4275</v>
      </c>
      <c r="M5" t="s">
        <v>4277</v>
      </c>
      <c r="O5" t="s">
        <v>4283</v>
      </c>
      <c r="P5" t="s">
        <v>4288</v>
      </c>
      <c r="Q5" t="s">
        <v>5732</v>
      </c>
      <c r="R5" t="s">
        <v>5752</v>
      </c>
      <c r="T5" t="s">
        <v>4276</v>
      </c>
      <c r="V5" t="s">
        <v>5767</v>
      </c>
      <c r="X5" t="s">
        <v>87</v>
      </c>
      <c r="Y5">
        <v>750</v>
      </c>
      <c r="Z5" t="s">
        <v>5803</v>
      </c>
      <c r="AC5" t="s">
        <v>5833</v>
      </c>
      <c r="AE5" t="s">
        <v>7851</v>
      </c>
      <c r="AF5">
        <v>0</v>
      </c>
      <c r="AI5">
        <v>5</v>
      </c>
      <c r="AJ5">
        <v>1</v>
      </c>
      <c r="AK5">
        <v>0</v>
      </c>
      <c r="AL5">
        <v>0</v>
      </c>
      <c r="AO5" t="s">
        <v>1425</v>
      </c>
      <c r="AP5">
        <v>0</v>
      </c>
      <c r="AV5">
        <v>1.5</v>
      </c>
      <c r="AW5" t="s">
        <v>9547</v>
      </c>
    </row>
    <row r="6" spans="1:49">
      <c r="A6" s="1">
        <f>HYPERLINK("https://cms.ls-nyc.org/matter/dynamic-profile/view/1888859","19-1888859")</f>
        <v>0</v>
      </c>
      <c r="B6" t="s">
        <v>49</v>
      </c>
      <c r="C6" t="s">
        <v>83</v>
      </c>
      <c r="D6" t="s">
        <v>88</v>
      </c>
      <c r="F6" t="s">
        <v>319</v>
      </c>
      <c r="G6" t="s">
        <v>1378</v>
      </c>
      <c r="H6" t="s">
        <v>2496</v>
      </c>
      <c r="I6" t="s">
        <v>3841</v>
      </c>
      <c r="J6" t="s">
        <v>4225</v>
      </c>
      <c r="K6">
        <v>11385</v>
      </c>
      <c r="L6" t="s">
        <v>4275</v>
      </c>
      <c r="M6" t="s">
        <v>4275</v>
      </c>
      <c r="N6" t="s">
        <v>4278</v>
      </c>
      <c r="O6" t="s">
        <v>4281</v>
      </c>
      <c r="P6" t="s">
        <v>4289</v>
      </c>
      <c r="Q6" t="s">
        <v>5732</v>
      </c>
      <c r="R6" t="s">
        <v>5751</v>
      </c>
      <c r="T6" t="s">
        <v>4275</v>
      </c>
      <c r="V6" t="s">
        <v>5767</v>
      </c>
      <c r="X6" t="s">
        <v>176</v>
      </c>
      <c r="Y6">
        <v>1850</v>
      </c>
      <c r="Z6" t="s">
        <v>5803</v>
      </c>
      <c r="AA6" t="s">
        <v>5804</v>
      </c>
      <c r="AC6" t="s">
        <v>5834</v>
      </c>
      <c r="AE6" t="s">
        <v>7852</v>
      </c>
      <c r="AF6">
        <v>2</v>
      </c>
      <c r="AG6" t="s">
        <v>9269</v>
      </c>
      <c r="AH6" t="s">
        <v>4280</v>
      </c>
      <c r="AI6">
        <v>23</v>
      </c>
      <c r="AJ6">
        <v>3</v>
      </c>
      <c r="AK6">
        <v>1</v>
      </c>
      <c r="AL6">
        <v>0</v>
      </c>
      <c r="AO6" t="s">
        <v>1425</v>
      </c>
      <c r="AP6">
        <v>0</v>
      </c>
      <c r="AS6" t="s">
        <v>5806</v>
      </c>
      <c r="AT6" t="s">
        <v>9370</v>
      </c>
      <c r="AU6" t="s">
        <v>9376</v>
      </c>
      <c r="AV6">
        <v>2.55</v>
      </c>
      <c r="AW6" t="s">
        <v>74</v>
      </c>
    </row>
    <row r="7" spans="1:49">
      <c r="A7" s="1">
        <f>HYPERLINK("https://cms.ls-nyc.org/matter/dynamic-profile/view/1892066","19-1892066")</f>
        <v>0</v>
      </c>
      <c r="B7" t="s">
        <v>49</v>
      </c>
      <c r="C7" t="s">
        <v>82</v>
      </c>
      <c r="D7" t="s">
        <v>89</v>
      </c>
      <c r="E7" t="s">
        <v>95</v>
      </c>
      <c r="F7" t="s">
        <v>320</v>
      </c>
      <c r="G7" t="s">
        <v>1379</v>
      </c>
      <c r="H7" t="s">
        <v>2497</v>
      </c>
      <c r="I7" t="s">
        <v>3842</v>
      </c>
      <c r="J7" t="s">
        <v>4226</v>
      </c>
      <c r="K7">
        <v>11385</v>
      </c>
      <c r="L7" t="s">
        <v>4275</v>
      </c>
      <c r="M7" t="s">
        <v>4275</v>
      </c>
      <c r="N7" t="s">
        <v>4278</v>
      </c>
      <c r="O7" t="s">
        <v>4281</v>
      </c>
      <c r="P7" t="s">
        <v>4290</v>
      </c>
      <c r="Q7" t="s">
        <v>5731</v>
      </c>
      <c r="R7" t="s">
        <v>5751</v>
      </c>
      <c r="S7" t="s">
        <v>5758</v>
      </c>
      <c r="T7" t="s">
        <v>4276</v>
      </c>
      <c r="V7" t="s">
        <v>5767</v>
      </c>
      <c r="X7" t="s">
        <v>5778</v>
      </c>
      <c r="Y7">
        <v>1153</v>
      </c>
      <c r="Z7" t="s">
        <v>5803</v>
      </c>
      <c r="AA7" t="s">
        <v>5805</v>
      </c>
      <c r="AB7" t="s">
        <v>5820</v>
      </c>
      <c r="AC7" t="s">
        <v>5835</v>
      </c>
      <c r="AD7" t="s">
        <v>7281</v>
      </c>
      <c r="AE7" t="s">
        <v>7853</v>
      </c>
      <c r="AF7">
        <v>6</v>
      </c>
      <c r="AG7" t="s">
        <v>9270</v>
      </c>
      <c r="AH7" t="s">
        <v>4280</v>
      </c>
      <c r="AI7">
        <v>19</v>
      </c>
      <c r="AJ7">
        <v>1</v>
      </c>
      <c r="AK7">
        <v>0</v>
      </c>
      <c r="AL7">
        <v>0</v>
      </c>
      <c r="AO7" t="s">
        <v>1425</v>
      </c>
      <c r="AP7">
        <v>0</v>
      </c>
      <c r="AR7" t="s">
        <v>9327</v>
      </c>
      <c r="AS7" t="s">
        <v>9337</v>
      </c>
      <c r="AT7" t="s">
        <v>9369</v>
      </c>
      <c r="AU7" t="s">
        <v>9377</v>
      </c>
      <c r="AV7">
        <v>7.5</v>
      </c>
      <c r="AW7" t="s">
        <v>54</v>
      </c>
    </row>
    <row r="8" spans="1:49">
      <c r="A8" s="1">
        <f>HYPERLINK("https://cms.ls-nyc.org/matter/dynamic-profile/view/1901145","19-1901145")</f>
        <v>0</v>
      </c>
      <c r="B8" t="s">
        <v>49</v>
      </c>
      <c r="C8" t="s">
        <v>83</v>
      </c>
      <c r="D8" t="s">
        <v>90</v>
      </c>
      <c r="F8" t="s">
        <v>321</v>
      </c>
      <c r="G8" t="s">
        <v>1380</v>
      </c>
      <c r="H8" t="s">
        <v>2498</v>
      </c>
      <c r="I8" t="s">
        <v>3843</v>
      </c>
      <c r="J8" t="s">
        <v>4227</v>
      </c>
      <c r="K8">
        <v>11366</v>
      </c>
      <c r="L8" t="s">
        <v>4275</v>
      </c>
      <c r="M8" t="s">
        <v>4277</v>
      </c>
      <c r="O8" t="s">
        <v>4282</v>
      </c>
      <c r="P8" t="s">
        <v>4291</v>
      </c>
      <c r="Q8" t="s">
        <v>5732</v>
      </c>
      <c r="R8" t="s">
        <v>5752</v>
      </c>
      <c r="T8" t="s">
        <v>4276</v>
      </c>
      <c r="V8" t="s">
        <v>5767</v>
      </c>
      <c r="X8" t="s">
        <v>90</v>
      </c>
      <c r="Y8">
        <v>2290</v>
      </c>
      <c r="Z8" t="s">
        <v>5803</v>
      </c>
      <c r="AA8" t="s">
        <v>5804</v>
      </c>
      <c r="AC8" t="s">
        <v>5836</v>
      </c>
      <c r="AE8" t="s">
        <v>7854</v>
      </c>
      <c r="AF8">
        <v>0</v>
      </c>
      <c r="AI8">
        <v>0</v>
      </c>
      <c r="AJ8">
        <v>1</v>
      </c>
      <c r="AK8">
        <v>3</v>
      </c>
      <c r="AL8">
        <v>0</v>
      </c>
      <c r="AO8" t="s">
        <v>9298</v>
      </c>
      <c r="AP8">
        <v>0</v>
      </c>
      <c r="AV8">
        <v>0.1</v>
      </c>
      <c r="AW8" t="s">
        <v>9547</v>
      </c>
    </row>
    <row r="9" spans="1:49">
      <c r="A9" s="1">
        <f>HYPERLINK("https://cms.ls-nyc.org/matter/dynamic-profile/view/1895154","19-1895154")</f>
        <v>0</v>
      </c>
      <c r="B9" t="s">
        <v>49</v>
      </c>
      <c r="C9" t="s">
        <v>82</v>
      </c>
      <c r="D9" t="s">
        <v>91</v>
      </c>
      <c r="E9" t="s">
        <v>91</v>
      </c>
      <c r="F9" t="s">
        <v>322</v>
      </c>
      <c r="G9" t="s">
        <v>1381</v>
      </c>
      <c r="J9" t="s">
        <v>4228</v>
      </c>
      <c r="K9">
        <v>11362</v>
      </c>
      <c r="L9" t="s">
        <v>4275</v>
      </c>
      <c r="M9" t="s">
        <v>4277</v>
      </c>
      <c r="N9" t="s">
        <v>4278</v>
      </c>
      <c r="O9" t="s">
        <v>4282</v>
      </c>
      <c r="P9" t="s">
        <v>4292</v>
      </c>
      <c r="Q9" t="s">
        <v>5732</v>
      </c>
      <c r="R9" t="s">
        <v>5753</v>
      </c>
      <c r="S9" t="s">
        <v>5759</v>
      </c>
      <c r="T9" t="s">
        <v>4276</v>
      </c>
      <c r="V9" t="s">
        <v>5767</v>
      </c>
      <c r="W9" t="s">
        <v>5772</v>
      </c>
      <c r="X9" t="s">
        <v>91</v>
      </c>
      <c r="Y9">
        <v>1050</v>
      </c>
      <c r="Z9" t="s">
        <v>5803</v>
      </c>
      <c r="AA9" t="s">
        <v>5804</v>
      </c>
      <c r="AB9" t="s">
        <v>5821</v>
      </c>
      <c r="AC9" t="s">
        <v>5837</v>
      </c>
      <c r="AD9" t="s">
        <v>7282</v>
      </c>
      <c r="AE9" t="s">
        <v>7855</v>
      </c>
      <c r="AF9">
        <v>3</v>
      </c>
      <c r="AG9" t="s">
        <v>9269</v>
      </c>
      <c r="AH9" t="s">
        <v>5806</v>
      </c>
      <c r="AI9">
        <v>19</v>
      </c>
      <c r="AJ9">
        <v>1</v>
      </c>
      <c r="AK9">
        <v>0</v>
      </c>
      <c r="AL9">
        <v>0</v>
      </c>
      <c r="AP9">
        <v>0</v>
      </c>
      <c r="AV9">
        <v>1.01</v>
      </c>
      <c r="AW9" t="s">
        <v>55</v>
      </c>
    </row>
    <row r="10" spans="1:49">
      <c r="A10" s="1">
        <f>HYPERLINK("https://cms.ls-nyc.org/matter/dynamic-profile/view/1879889","18-1879889")</f>
        <v>0</v>
      </c>
      <c r="B10" t="s">
        <v>49</v>
      </c>
      <c r="C10" t="s">
        <v>82</v>
      </c>
      <c r="D10" t="s">
        <v>92</v>
      </c>
      <c r="E10" t="s">
        <v>93</v>
      </c>
      <c r="F10" t="s">
        <v>323</v>
      </c>
      <c r="G10" t="s">
        <v>1382</v>
      </c>
      <c r="H10" t="s">
        <v>2499</v>
      </c>
      <c r="I10">
        <v>41</v>
      </c>
      <c r="J10" t="s">
        <v>4229</v>
      </c>
      <c r="K10">
        <v>11358</v>
      </c>
      <c r="L10" t="s">
        <v>4275</v>
      </c>
      <c r="M10" t="s">
        <v>4275</v>
      </c>
      <c r="O10" t="s">
        <v>4283</v>
      </c>
      <c r="P10" t="s">
        <v>4293</v>
      </c>
      <c r="Q10" t="s">
        <v>5731</v>
      </c>
      <c r="R10" t="s">
        <v>5751</v>
      </c>
      <c r="S10" t="s">
        <v>5760</v>
      </c>
      <c r="T10" t="s">
        <v>4276</v>
      </c>
      <c r="V10" t="s">
        <v>5767</v>
      </c>
      <c r="W10" t="s">
        <v>5772</v>
      </c>
      <c r="X10" t="s">
        <v>92</v>
      </c>
      <c r="Y10">
        <v>1150</v>
      </c>
      <c r="Z10" t="s">
        <v>5803</v>
      </c>
      <c r="AA10" t="s">
        <v>5804</v>
      </c>
      <c r="AB10" t="s">
        <v>5820</v>
      </c>
      <c r="AC10" t="s">
        <v>5838</v>
      </c>
      <c r="AE10" t="s">
        <v>7856</v>
      </c>
      <c r="AF10">
        <v>28</v>
      </c>
      <c r="AG10" t="s">
        <v>9270</v>
      </c>
      <c r="AH10" t="s">
        <v>4280</v>
      </c>
      <c r="AI10">
        <v>6</v>
      </c>
      <c r="AJ10">
        <v>1</v>
      </c>
      <c r="AK10">
        <v>0</v>
      </c>
      <c r="AL10">
        <v>0</v>
      </c>
      <c r="AO10" t="s">
        <v>1425</v>
      </c>
      <c r="AP10">
        <v>0</v>
      </c>
      <c r="AR10" t="s">
        <v>9328</v>
      </c>
      <c r="AS10" t="s">
        <v>9338</v>
      </c>
      <c r="AT10" t="s">
        <v>9369</v>
      </c>
      <c r="AU10" t="s">
        <v>9378</v>
      </c>
      <c r="AV10">
        <v>23.2</v>
      </c>
      <c r="AW10" t="s">
        <v>54</v>
      </c>
    </row>
    <row r="11" spans="1:49">
      <c r="A11" s="1">
        <f>HYPERLINK("https://cms.ls-nyc.org/matter/dynamic-profile/view/1898799","19-1898799")</f>
        <v>0</v>
      </c>
      <c r="B11" t="s">
        <v>49</v>
      </c>
      <c r="C11" t="s">
        <v>83</v>
      </c>
      <c r="D11" t="s">
        <v>93</v>
      </c>
      <c r="F11" t="s">
        <v>316</v>
      </c>
      <c r="G11" t="s">
        <v>1383</v>
      </c>
      <c r="H11" t="s">
        <v>2500</v>
      </c>
      <c r="I11" t="s">
        <v>3844</v>
      </c>
      <c r="J11" t="s">
        <v>4230</v>
      </c>
      <c r="K11">
        <v>11101</v>
      </c>
      <c r="L11" t="s">
        <v>4275</v>
      </c>
      <c r="M11" t="s">
        <v>4275</v>
      </c>
      <c r="N11" t="s">
        <v>4278</v>
      </c>
      <c r="O11" t="s">
        <v>4282</v>
      </c>
      <c r="P11" t="s">
        <v>4294</v>
      </c>
      <c r="Q11" t="s">
        <v>5731</v>
      </c>
      <c r="R11" t="s">
        <v>5751</v>
      </c>
      <c r="T11" t="s">
        <v>4275</v>
      </c>
      <c r="V11" t="s">
        <v>5767</v>
      </c>
      <c r="X11" t="s">
        <v>93</v>
      </c>
      <c r="Y11">
        <v>297.6</v>
      </c>
      <c r="Z11" t="s">
        <v>5803</v>
      </c>
      <c r="AA11" t="s">
        <v>5804</v>
      </c>
      <c r="AC11" t="s">
        <v>5839</v>
      </c>
      <c r="AD11" t="s">
        <v>7283</v>
      </c>
      <c r="AE11" t="s">
        <v>7857</v>
      </c>
      <c r="AF11">
        <v>0</v>
      </c>
      <c r="AG11" t="s">
        <v>9271</v>
      </c>
      <c r="AI11">
        <v>25</v>
      </c>
      <c r="AJ11">
        <v>1</v>
      </c>
      <c r="AK11">
        <v>1</v>
      </c>
      <c r="AL11">
        <v>11.01</v>
      </c>
      <c r="AO11" t="s">
        <v>1425</v>
      </c>
      <c r="AP11">
        <v>1861.6</v>
      </c>
      <c r="AV11">
        <v>3.4</v>
      </c>
      <c r="AW11" t="s">
        <v>9547</v>
      </c>
    </row>
    <row r="12" spans="1:49">
      <c r="A12" s="1">
        <f>HYPERLINK("https://cms.ls-nyc.org/matter/dynamic-profile/view/1895734","19-1895734")</f>
        <v>0</v>
      </c>
      <c r="B12" t="s">
        <v>49</v>
      </c>
      <c r="C12" t="s">
        <v>83</v>
      </c>
      <c r="D12" t="s">
        <v>94</v>
      </c>
      <c r="F12" t="s">
        <v>324</v>
      </c>
      <c r="G12" t="s">
        <v>1384</v>
      </c>
      <c r="H12" t="s">
        <v>2501</v>
      </c>
      <c r="I12">
        <v>2</v>
      </c>
      <c r="J12" t="s">
        <v>4222</v>
      </c>
      <c r="K12">
        <v>11434</v>
      </c>
      <c r="L12" t="s">
        <v>4275</v>
      </c>
      <c r="M12" t="s">
        <v>4275</v>
      </c>
      <c r="N12" t="s">
        <v>4278</v>
      </c>
      <c r="O12" t="s">
        <v>4281</v>
      </c>
      <c r="P12" t="s">
        <v>4295</v>
      </c>
      <c r="Q12" t="s">
        <v>5732</v>
      </c>
      <c r="R12" t="s">
        <v>5751</v>
      </c>
      <c r="T12" t="s">
        <v>4276</v>
      </c>
      <c r="V12" t="s">
        <v>5767</v>
      </c>
      <c r="W12" t="s">
        <v>5772</v>
      </c>
      <c r="X12" t="s">
        <v>132</v>
      </c>
      <c r="Y12">
        <v>1450</v>
      </c>
      <c r="Z12" t="s">
        <v>5803</v>
      </c>
      <c r="AA12" t="s">
        <v>5804</v>
      </c>
      <c r="AC12" t="s">
        <v>5840</v>
      </c>
      <c r="AE12" t="s">
        <v>7858</v>
      </c>
      <c r="AF12">
        <v>3</v>
      </c>
      <c r="AG12" t="s">
        <v>9270</v>
      </c>
      <c r="AH12" t="s">
        <v>4280</v>
      </c>
      <c r="AI12">
        <v>8</v>
      </c>
      <c r="AJ12">
        <v>1</v>
      </c>
      <c r="AK12">
        <v>2</v>
      </c>
      <c r="AL12">
        <v>32.91</v>
      </c>
      <c r="AO12" t="s">
        <v>1425</v>
      </c>
      <c r="AP12">
        <v>7020</v>
      </c>
      <c r="AS12" t="s">
        <v>9336</v>
      </c>
      <c r="AT12" t="s">
        <v>9369</v>
      </c>
      <c r="AU12" t="s">
        <v>9379</v>
      </c>
      <c r="AV12">
        <v>0.8</v>
      </c>
      <c r="AW12" t="s">
        <v>9548</v>
      </c>
    </row>
    <row r="13" spans="1:49">
      <c r="A13" s="1">
        <f>HYPERLINK("https://cms.ls-nyc.org/matter/dynamic-profile/view/1899845","19-1899845")</f>
        <v>0</v>
      </c>
      <c r="B13" t="s">
        <v>49</v>
      </c>
      <c r="C13" t="s">
        <v>82</v>
      </c>
      <c r="D13" t="s">
        <v>95</v>
      </c>
      <c r="E13" t="s">
        <v>91</v>
      </c>
      <c r="F13" t="s">
        <v>325</v>
      </c>
      <c r="G13" t="s">
        <v>1385</v>
      </c>
      <c r="H13" t="s">
        <v>2502</v>
      </c>
      <c r="I13" t="s">
        <v>3845</v>
      </c>
      <c r="J13" t="s">
        <v>4222</v>
      </c>
      <c r="K13">
        <v>11432</v>
      </c>
      <c r="L13" t="s">
        <v>4275</v>
      </c>
      <c r="M13" t="s">
        <v>4277</v>
      </c>
      <c r="N13" t="s">
        <v>4279</v>
      </c>
      <c r="O13" t="s">
        <v>4282</v>
      </c>
      <c r="P13" t="s">
        <v>4296</v>
      </c>
      <c r="Q13" t="s">
        <v>5731</v>
      </c>
      <c r="R13" t="s">
        <v>5753</v>
      </c>
      <c r="S13" t="s">
        <v>5759</v>
      </c>
      <c r="T13" t="s">
        <v>4276</v>
      </c>
      <c r="V13" t="s">
        <v>5767</v>
      </c>
      <c r="W13" t="s">
        <v>5772</v>
      </c>
      <c r="X13" t="s">
        <v>95</v>
      </c>
      <c r="Y13">
        <v>1149.42</v>
      </c>
      <c r="Z13" t="s">
        <v>5803</v>
      </c>
      <c r="AA13" t="s">
        <v>5804</v>
      </c>
      <c r="AB13" t="s">
        <v>5821</v>
      </c>
      <c r="AC13" t="s">
        <v>5841</v>
      </c>
      <c r="AD13" t="s">
        <v>7284</v>
      </c>
      <c r="AE13" t="s">
        <v>7859</v>
      </c>
      <c r="AF13">
        <v>66</v>
      </c>
      <c r="AG13" t="s">
        <v>9272</v>
      </c>
      <c r="AH13" t="s">
        <v>4280</v>
      </c>
      <c r="AI13">
        <v>22</v>
      </c>
      <c r="AJ13">
        <v>2</v>
      </c>
      <c r="AK13">
        <v>1</v>
      </c>
      <c r="AL13">
        <v>44.5</v>
      </c>
      <c r="AO13" t="s">
        <v>9298</v>
      </c>
      <c r="AP13">
        <v>9492</v>
      </c>
      <c r="AV13">
        <v>2.55</v>
      </c>
      <c r="AW13" t="s">
        <v>54</v>
      </c>
    </row>
    <row r="14" spans="1:49">
      <c r="A14" s="1">
        <f>HYPERLINK("https://cms.ls-nyc.org/matter/dynamic-profile/view/1893883","19-1893883")</f>
        <v>0</v>
      </c>
      <c r="B14" t="s">
        <v>49</v>
      </c>
      <c r="C14" t="s">
        <v>82</v>
      </c>
      <c r="D14" t="s">
        <v>96</v>
      </c>
      <c r="E14" t="s">
        <v>237</v>
      </c>
      <c r="F14" t="s">
        <v>326</v>
      </c>
      <c r="G14" t="s">
        <v>1386</v>
      </c>
      <c r="H14" t="s">
        <v>2503</v>
      </c>
      <c r="I14" t="s">
        <v>3846</v>
      </c>
      <c r="J14" t="s">
        <v>4227</v>
      </c>
      <c r="K14">
        <v>11366</v>
      </c>
      <c r="L14" t="s">
        <v>4275</v>
      </c>
      <c r="M14" t="s">
        <v>4275</v>
      </c>
      <c r="O14" t="s">
        <v>4282</v>
      </c>
      <c r="P14" t="s">
        <v>4297</v>
      </c>
      <c r="Q14" t="s">
        <v>5731</v>
      </c>
      <c r="R14" t="s">
        <v>5753</v>
      </c>
      <c r="S14" t="s">
        <v>5759</v>
      </c>
      <c r="T14" t="s">
        <v>4276</v>
      </c>
      <c r="V14" t="s">
        <v>5767</v>
      </c>
      <c r="X14" t="s">
        <v>96</v>
      </c>
      <c r="Y14">
        <v>1186.12</v>
      </c>
      <c r="Z14" t="s">
        <v>5803</v>
      </c>
      <c r="AA14" t="s">
        <v>5804</v>
      </c>
      <c r="AB14" t="s">
        <v>5821</v>
      </c>
      <c r="AC14" t="s">
        <v>5842</v>
      </c>
      <c r="AD14" t="s">
        <v>7285</v>
      </c>
      <c r="AE14" t="s">
        <v>7860</v>
      </c>
      <c r="AF14">
        <v>0</v>
      </c>
      <c r="AH14" t="s">
        <v>9282</v>
      </c>
      <c r="AI14">
        <v>38</v>
      </c>
      <c r="AJ14">
        <v>1</v>
      </c>
      <c r="AK14">
        <v>2</v>
      </c>
      <c r="AL14">
        <v>49.9</v>
      </c>
      <c r="AO14" t="s">
        <v>1425</v>
      </c>
      <c r="AP14">
        <v>10644</v>
      </c>
      <c r="AV14">
        <v>1.9</v>
      </c>
      <c r="AW14" t="s">
        <v>54</v>
      </c>
    </row>
    <row r="15" spans="1:49">
      <c r="A15" s="1">
        <f>HYPERLINK("https://cms.ls-nyc.org/matter/dynamic-profile/view/1897970","19-1897970")</f>
        <v>0</v>
      </c>
      <c r="B15" t="s">
        <v>49</v>
      </c>
      <c r="C15" t="s">
        <v>82</v>
      </c>
      <c r="D15" t="s">
        <v>97</v>
      </c>
      <c r="E15" t="s">
        <v>97</v>
      </c>
      <c r="F15" t="s">
        <v>327</v>
      </c>
      <c r="G15" t="s">
        <v>574</v>
      </c>
      <c r="H15" t="s">
        <v>2504</v>
      </c>
      <c r="J15" t="s">
        <v>4231</v>
      </c>
      <c r="K15">
        <v>11419</v>
      </c>
      <c r="L15" t="s">
        <v>4275</v>
      </c>
      <c r="M15" t="s">
        <v>4277</v>
      </c>
      <c r="N15" t="s">
        <v>4278</v>
      </c>
      <c r="O15" t="s">
        <v>4282</v>
      </c>
      <c r="P15" t="s">
        <v>4298</v>
      </c>
      <c r="Q15" t="s">
        <v>5732</v>
      </c>
      <c r="R15" t="s">
        <v>5753</v>
      </c>
      <c r="S15" t="s">
        <v>5759</v>
      </c>
      <c r="T15" t="s">
        <v>4276</v>
      </c>
      <c r="V15" t="s">
        <v>5767</v>
      </c>
      <c r="X15" t="s">
        <v>123</v>
      </c>
      <c r="Y15">
        <v>1400</v>
      </c>
      <c r="Z15" t="s">
        <v>5803</v>
      </c>
      <c r="AA15" t="s">
        <v>5804</v>
      </c>
      <c r="AB15" t="s">
        <v>5821</v>
      </c>
      <c r="AC15" t="s">
        <v>5843</v>
      </c>
      <c r="AE15" t="s">
        <v>7861</v>
      </c>
      <c r="AF15">
        <v>1</v>
      </c>
      <c r="AG15" t="s">
        <v>9269</v>
      </c>
      <c r="AI15">
        <v>1</v>
      </c>
      <c r="AJ15">
        <v>1</v>
      </c>
      <c r="AK15">
        <v>3</v>
      </c>
      <c r="AL15">
        <v>58.25</v>
      </c>
      <c r="AO15" t="s">
        <v>9299</v>
      </c>
      <c r="AP15">
        <v>15000</v>
      </c>
      <c r="AV15">
        <v>1.45</v>
      </c>
      <c r="AW15" t="s">
        <v>55</v>
      </c>
    </row>
    <row r="16" spans="1:49">
      <c r="A16" s="1">
        <f>HYPERLINK("https://cms.ls-nyc.org/matter/dynamic-profile/view/1879976","18-1879976")</f>
        <v>0</v>
      </c>
      <c r="B16" t="s">
        <v>49</v>
      </c>
      <c r="C16" t="s">
        <v>82</v>
      </c>
      <c r="D16" t="s">
        <v>92</v>
      </c>
      <c r="E16" t="s">
        <v>286</v>
      </c>
      <c r="F16" t="s">
        <v>328</v>
      </c>
      <c r="G16" t="s">
        <v>1387</v>
      </c>
      <c r="H16" t="s">
        <v>2505</v>
      </c>
      <c r="I16" t="s">
        <v>3847</v>
      </c>
      <c r="J16" t="s">
        <v>4232</v>
      </c>
      <c r="K16">
        <v>11104</v>
      </c>
      <c r="L16" t="s">
        <v>4275</v>
      </c>
      <c r="M16" t="s">
        <v>4275</v>
      </c>
      <c r="O16" t="s">
        <v>4282</v>
      </c>
      <c r="P16" t="s">
        <v>4299</v>
      </c>
      <c r="Q16" t="s">
        <v>5731</v>
      </c>
      <c r="R16" t="s">
        <v>5751</v>
      </c>
      <c r="S16" t="s">
        <v>5758</v>
      </c>
      <c r="T16" t="s">
        <v>4276</v>
      </c>
      <c r="V16" t="s">
        <v>5767</v>
      </c>
      <c r="W16" t="s">
        <v>5771</v>
      </c>
      <c r="X16" t="s">
        <v>92</v>
      </c>
      <c r="Y16">
        <v>1071</v>
      </c>
      <c r="Z16" t="s">
        <v>5803</v>
      </c>
      <c r="AA16" t="s">
        <v>5804</v>
      </c>
      <c r="AB16" t="s">
        <v>5820</v>
      </c>
      <c r="AC16" t="s">
        <v>5844</v>
      </c>
      <c r="AD16" t="s">
        <v>7286</v>
      </c>
      <c r="AE16" t="s">
        <v>7862</v>
      </c>
      <c r="AF16">
        <v>10</v>
      </c>
      <c r="AG16" t="s">
        <v>9272</v>
      </c>
      <c r="AH16" t="s">
        <v>4280</v>
      </c>
      <c r="AI16">
        <v>10</v>
      </c>
      <c r="AJ16">
        <v>3</v>
      </c>
      <c r="AK16">
        <v>1</v>
      </c>
      <c r="AL16">
        <v>63.75</v>
      </c>
      <c r="AO16" t="s">
        <v>9298</v>
      </c>
      <c r="AP16">
        <v>16000</v>
      </c>
      <c r="AS16" t="s">
        <v>9336</v>
      </c>
      <c r="AT16" t="s">
        <v>9369</v>
      </c>
      <c r="AU16" t="s">
        <v>9380</v>
      </c>
      <c r="AV16">
        <v>4.5</v>
      </c>
      <c r="AW16" t="s">
        <v>73</v>
      </c>
    </row>
    <row r="17" spans="1:49">
      <c r="A17" s="1">
        <f>HYPERLINK("https://cms.ls-nyc.org/matter/dynamic-profile/view/1890975","19-1890975")</f>
        <v>0</v>
      </c>
      <c r="B17" t="s">
        <v>49</v>
      </c>
      <c r="C17" t="s">
        <v>83</v>
      </c>
      <c r="D17" t="s">
        <v>98</v>
      </c>
      <c r="F17" t="s">
        <v>329</v>
      </c>
      <c r="G17" t="s">
        <v>1385</v>
      </c>
      <c r="H17" t="s">
        <v>2506</v>
      </c>
      <c r="I17" t="s">
        <v>3848</v>
      </c>
      <c r="J17" t="s">
        <v>4233</v>
      </c>
      <c r="K17">
        <v>11375</v>
      </c>
      <c r="L17" t="s">
        <v>4275</v>
      </c>
      <c r="M17" t="s">
        <v>4275</v>
      </c>
      <c r="O17" t="s">
        <v>4282</v>
      </c>
      <c r="P17" t="s">
        <v>4300</v>
      </c>
      <c r="Q17" t="s">
        <v>5731</v>
      </c>
      <c r="R17" t="s">
        <v>5752</v>
      </c>
      <c r="T17" t="s">
        <v>4276</v>
      </c>
      <c r="V17" t="s">
        <v>5767</v>
      </c>
      <c r="W17" t="s">
        <v>5773</v>
      </c>
      <c r="Y17">
        <v>1570</v>
      </c>
      <c r="Z17" t="s">
        <v>5803</v>
      </c>
      <c r="AA17" t="s">
        <v>5804</v>
      </c>
      <c r="AC17" t="s">
        <v>5845</v>
      </c>
      <c r="AE17" t="s">
        <v>7863</v>
      </c>
      <c r="AF17">
        <v>120</v>
      </c>
      <c r="AG17" t="s">
        <v>9272</v>
      </c>
      <c r="AH17" t="s">
        <v>4280</v>
      </c>
      <c r="AI17">
        <v>3</v>
      </c>
      <c r="AJ17">
        <v>1</v>
      </c>
      <c r="AK17">
        <v>0</v>
      </c>
      <c r="AL17">
        <v>68.05</v>
      </c>
      <c r="AO17" t="s">
        <v>1425</v>
      </c>
      <c r="AP17">
        <v>8500</v>
      </c>
      <c r="AV17">
        <v>0.25</v>
      </c>
      <c r="AW17" t="s">
        <v>73</v>
      </c>
    </row>
    <row r="18" spans="1:49">
      <c r="A18" s="1">
        <f>HYPERLINK("https://cms.ls-nyc.org/matter/dynamic-profile/view/1900013","19-1900013")</f>
        <v>0</v>
      </c>
      <c r="B18" t="s">
        <v>49</v>
      </c>
      <c r="C18" t="s">
        <v>82</v>
      </c>
      <c r="D18" t="s">
        <v>99</v>
      </c>
      <c r="E18" t="s">
        <v>87</v>
      </c>
      <c r="F18" t="s">
        <v>330</v>
      </c>
      <c r="G18" t="s">
        <v>1388</v>
      </c>
      <c r="H18" t="s">
        <v>2507</v>
      </c>
      <c r="J18" t="s">
        <v>4222</v>
      </c>
      <c r="K18">
        <v>11433</v>
      </c>
      <c r="L18" t="s">
        <v>4275</v>
      </c>
      <c r="M18" t="s">
        <v>4277</v>
      </c>
      <c r="N18" t="s">
        <v>4278</v>
      </c>
      <c r="O18" t="s">
        <v>4281</v>
      </c>
      <c r="P18" t="s">
        <v>4301</v>
      </c>
      <c r="Q18" t="s">
        <v>5732</v>
      </c>
      <c r="R18" t="s">
        <v>5753</v>
      </c>
      <c r="S18" t="s">
        <v>5759</v>
      </c>
      <c r="T18" t="s">
        <v>4276</v>
      </c>
      <c r="V18" t="s">
        <v>5767</v>
      </c>
      <c r="X18" t="s">
        <v>99</v>
      </c>
      <c r="Y18">
        <v>650</v>
      </c>
      <c r="Z18" t="s">
        <v>5803</v>
      </c>
      <c r="AB18" t="s">
        <v>5821</v>
      </c>
      <c r="AC18" t="s">
        <v>5846</v>
      </c>
      <c r="AF18">
        <v>0</v>
      </c>
      <c r="AG18" t="s">
        <v>9269</v>
      </c>
      <c r="AI18">
        <v>3</v>
      </c>
      <c r="AJ18">
        <v>1</v>
      </c>
      <c r="AK18">
        <v>1</v>
      </c>
      <c r="AL18">
        <v>70.95999999999999</v>
      </c>
      <c r="AO18" t="s">
        <v>9298</v>
      </c>
      <c r="AP18">
        <v>12000</v>
      </c>
      <c r="AV18">
        <v>0.75</v>
      </c>
      <c r="AW18" t="s">
        <v>9547</v>
      </c>
    </row>
    <row r="19" spans="1:49">
      <c r="A19" s="1">
        <f>HYPERLINK("https://cms.ls-nyc.org/matter/dynamic-profile/view/1889865","19-1889865")</f>
        <v>0</v>
      </c>
      <c r="B19" t="s">
        <v>49</v>
      </c>
      <c r="C19" t="s">
        <v>82</v>
      </c>
      <c r="D19" t="s">
        <v>100</v>
      </c>
      <c r="E19" t="s">
        <v>283</v>
      </c>
      <c r="F19" t="s">
        <v>331</v>
      </c>
      <c r="G19" t="s">
        <v>1389</v>
      </c>
      <c r="H19" t="s">
        <v>2508</v>
      </c>
      <c r="J19" t="s">
        <v>4234</v>
      </c>
      <c r="K19">
        <v>11102</v>
      </c>
      <c r="L19" t="s">
        <v>4276</v>
      </c>
      <c r="M19" t="s">
        <v>4275</v>
      </c>
      <c r="O19" t="s">
        <v>4282</v>
      </c>
      <c r="P19" t="s">
        <v>4302</v>
      </c>
      <c r="Q19" t="s">
        <v>5733</v>
      </c>
      <c r="R19" t="s">
        <v>5753</v>
      </c>
      <c r="S19" t="s">
        <v>5759</v>
      </c>
      <c r="T19" t="s">
        <v>4276</v>
      </c>
      <c r="V19" t="s">
        <v>5767</v>
      </c>
      <c r="W19" t="s">
        <v>5773</v>
      </c>
      <c r="Y19">
        <v>756</v>
      </c>
      <c r="Z19" t="s">
        <v>5803</v>
      </c>
      <c r="AA19" t="s">
        <v>5804</v>
      </c>
      <c r="AB19" t="s">
        <v>5821</v>
      </c>
      <c r="AC19" t="s">
        <v>5847</v>
      </c>
      <c r="AD19" t="s">
        <v>7287</v>
      </c>
      <c r="AE19" t="s">
        <v>7289</v>
      </c>
      <c r="AF19">
        <v>2</v>
      </c>
      <c r="AG19" t="s">
        <v>9272</v>
      </c>
      <c r="AH19" t="s">
        <v>9282</v>
      </c>
      <c r="AI19">
        <v>1</v>
      </c>
      <c r="AJ19">
        <v>3</v>
      </c>
      <c r="AK19">
        <v>2</v>
      </c>
      <c r="AL19">
        <v>78.16</v>
      </c>
      <c r="AO19" t="s">
        <v>9298</v>
      </c>
      <c r="AP19">
        <v>23580</v>
      </c>
      <c r="AV19">
        <v>0.1</v>
      </c>
      <c r="AW19" t="s">
        <v>73</v>
      </c>
    </row>
    <row r="20" spans="1:49">
      <c r="A20" s="1">
        <f>HYPERLINK("https://cms.ls-nyc.org/matter/dynamic-profile/view/1894985","19-1894985")</f>
        <v>0</v>
      </c>
      <c r="B20" t="s">
        <v>49</v>
      </c>
      <c r="C20" t="s">
        <v>82</v>
      </c>
      <c r="D20" t="s">
        <v>101</v>
      </c>
      <c r="E20" t="s">
        <v>216</v>
      </c>
      <c r="F20" t="s">
        <v>331</v>
      </c>
      <c r="G20" t="s">
        <v>1390</v>
      </c>
      <c r="H20" t="s">
        <v>2509</v>
      </c>
      <c r="J20" t="s">
        <v>4225</v>
      </c>
      <c r="K20">
        <v>11385</v>
      </c>
      <c r="L20" t="s">
        <v>4275</v>
      </c>
      <c r="M20" t="s">
        <v>4275</v>
      </c>
      <c r="N20" t="s">
        <v>4278</v>
      </c>
      <c r="O20" t="s">
        <v>4281</v>
      </c>
      <c r="P20" t="s">
        <v>4303</v>
      </c>
      <c r="Q20" t="s">
        <v>5731</v>
      </c>
      <c r="R20" t="s">
        <v>5751</v>
      </c>
      <c r="S20" t="s">
        <v>5758</v>
      </c>
      <c r="T20" t="s">
        <v>4276</v>
      </c>
      <c r="V20" t="s">
        <v>5767</v>
      </c>
      <c r="W20" t="s">
        <v>5771</v>
      </c>
      <c r="X20" t="s">
        <v>101</v>
      </c>
      <c r="Y20">
        <v>1676.88</v>
      </c>
      <c r="Z20" t="s">
        <v>5803</v>
      </c>
      <c r="AA20" t="s">
        <v>5805</v>
      </c>
      <c r="AB20" t="s">
        <v>5820</v>
      </c>
      <c r="AC20" t="s">
        <v>5848</v>
      </c>
      <c r="AD20" t="s">
        <v>7288</v>
      </c>
      <c r="AE20" t="s">
        <v>7864</v>
      </c>
      <c r="AF20">
        <v>6</v>
      </c>
      <c r="AG20" t="s">
        <v>9272</v>
      </c>
      <c r="AI20">
        <v>6</v>
      </c>
      <c r="AJ20">
        <v>2</v>
      </c>
      <c r="AK20">
        <v>3</v>
      </c>
      <c r="AL20">
        <v>99.44</v>
      </c>
      <c r="AO20" t="s">
        <v>9298</v>
      </c>
      <c r="AP20">
        <v>30000</v>
      </c>
      <c r="AS20" t="s">
        <v>9336</v>
      </c>
      <c r="AT20" t="s">
        <v>9369</v>
      </c>
      <c r="AU20" t="s">
        <v>9381</v>
      </c>
      <c r="AV20">
        <v>2.3</v>
      </c>
      <c r="AW20" t="s">
        <v>54</v>
      </c>
    </row>
    <row r="21" spans="1:49">
      <c r="A21" s="1">
        <f>HYPERLINK("https://cms.ls-nyc.org/matter/dynamic-profile/view/1871542","18-1871542")</f>
        <v>0</v>
      </c>
      <c r="B21" t="s">
        <v>49</v>
      </c>
      <c r="C21" t="s">
        <v>82</v>
      </c>
      <c r="D21" t="s">
        <v>102</v>
      </c>
      <c r="E21" t="s">
        <v>286</v>
      </c>
      <c r="F21" t="s">
        <v>332</v>
      </c>
      <c r="G21" t="s">
        <v>1391</v>
      </c>
      <c r="H21" t="s">
        <v>2510</v>
      </c>
      <c r="I21">
        <v>2</v>
      </c>
      <c r="J21" t="s">
        <v>4235</v>
      </c>
      <c r="K21">
        <v>11421</v>
      </c>
      <c r="L21" t="s">
        <v>4275</v>
      </c>
      <c r="M21" t="s">
        <v>4275</v>
      </c>
      <c r="O21" t="s">
        <v>4282</v>
      </c>
      <c r="P21" t="s">
        <v>4304</v>
      </c>
      <c r="Q21" t="s">
        <v>5732</v>
      </c>
      <c r="R21" t="s">
        <v>5751</v>
      </c>
      <c r="S21" t="s">
        <v>5758</v>
      </c>
      <c r="T21" t="s">
        <v>4276</v>
      </c>
      <c r="V21" t="s">
        <v>5767</v>
      </c>
      <c r="W21" t="s">
        <v>5773</v>
      </c>
      <c r="X21" t="s">
        <v>5779</v>
      </c>
      <c r="Y21">
        <v>0</v>
      </c>
      <c r="Z21" t="s">
        <v>5803</v>
      </c>
      <c r="AA21" t="s">
        <v>5806</v>
      </c>
      <c r="AB21" t="s">
        <v>5822</v>
      </c>
      <c r="AC21" t="s">
        <v>5849</v>
      </c>
      <c r="AD21" t="s">
        <v>4700</v>
      </c>
      <c r="AF21">
        <v>2</v>
      </c>
      <c r="AG21" t="s">
        <v>9269</v>
      </c>
      <c r="AH21" t="s">
        <v>5806</v>
      </c>
      <c r="AI21">
        <v>1</v>
      </c>
      <c r="AJ21">
        <v>1</v>
      </c>
      <c r="AK21">
        <v>0</v>
      </c>
      <c r="AL21">
        <v>107.74</v>
      </c>
      <c r="AO21" t="s">
        <v>1425</v>
      </c>
      <c r="AP21">
        <v>13080</v>
      </c>
      <c r="AS21" t="s">
        <v>5806</v>
      </c>
      <c r="AT21" t="s">
        <v>9370</v>
      </c>
      <c r="AU21" t="s">
        <v>9382</v>
      </c>
      <c r="AV21">
        <v>10.8</v>
      </c>
      <c r="AW21" t="s">
        <v>49</v>
      </c>
    </row>
    <row r="22" spans="1:49">
      <c r="A22" s="1">
        <f>HYPERLINK("https://cms.ls-nyc.org/matter/dynamic-profile/view/1895164","19-1895164")</f>
        <v>0</v>
      </c>
      <c r="B22" t="s">
        <v>49</v>
      </c>
      <c r="C22" t="s">
        <v>82</v>
      </c>
      <c r="D22" t="s">
        <v>91</v>
      </c>
      <c r="E22" t="s">
        <v>91</v>
      </c>
      <c r="F22" t="s">
        <v>333</v>
      </c>
      <c r="G22" t="s">
        <v>1392</v>
      </c>
      <c r="J22" t="s">
        <v>4236</v>
      </c>
      <c r="K22">
        <v>11417</v>
      </c>
      <c r="L22" t="s">
        <v>4275</v>
      </c>
      <c r="M22" t="s">
        <v>4277</v>
      </c>
      <c r="N22" t="s">
        <v>4278</v>
      </c>
      <c r="O22" t="s">
        <v>4282</v>
      </c>
      <c r="P22" t="s">
        <v>4305</v>
      </c>
      <c r="Q22" t="s">
        <v>5732</v>
      </c>
      <c r="R22" t="s">
        <v>5753</v>
      </c>
      <c r="S22" t="s">
        <v>5759</v>
      </c>
      <c r="T22" t="s">
        <v>4276</v>
      </c>
      <c r="V22" t="s">
        <v>5767</v>
      </c>
      <c r="X22" t="s">
        <v>91</v>
      </c>
      <c r="Y22">
        <v>1690</v>
      </c>
      <c r="Z22" t="s">
        <v>5803</v>
      </c>
      <c r="AA22" t="s">
        <v>5804</v>
      </c>
      <c r="AB22" t="s">
        <v>5821</v>
      </c>
      <c r="AC22" t="s">
        <v>5850</v>
      </c>
      <c r="AD22" t="s">
        <v>4700</v>
      </c>
      <c r="AE22" t="s">
        <v>7865</v>
      </c>
      <c r="AF22">
        <v>3</v>
      </c>
      <c r="AG22" t="s">
        <v>9269</v>
      </c>
      <c r="AH22" t="s">
        <v>4280</v>
      </c>
      <c r="AI22">
        <v>24</v>
      </c>
      <c r="AJ22">
        <v>2</v>
      </c>
      <c r="AK22">
        <v>1</v>
      </c>
      <c r="AL22">
        <v>112.52</v>
      </c>
      <c r="AP22">
        <v>24000</v>
      </c>
      <c r="AV22">
        <v>2.75</v>
      </c>
      <c r="AW22" t="s">
        <v>55</v>
      </c>
    </row>
    <row r="23" spans="1:49">
      <c r="A23" s="1">
        <f>HYPERLINK("https://cms.ls-nyc.org/matter/dynamic-profile/view/1892794","19-1892794")</f>
        <v>0</v>
      </c>
      <c r="B23" t="s">
        <v>49</v>
      </c>
      <c r="C23" t="s">
        <v>82</v>
      </c>
      <c r="D23" t="s">
        <v>97</v>
      </c>
      <c r="E23" t="s">
        <v>97</v>
      </c>
      <c r="F23" t="s">
        <v>334</v>
      </c>
      <c r="G23" t="s">
        <v>1393</v>
      </c>
      <c r="H23" t="s">
        <v>2511</v>
      </c>
      <c r="J23" t="s">
        <v>4237</v>
      </c>
      <c r="K23">
        <v>11356</v>
      </c>
      <c r="L23" t="s">
        <v>4277</v>
      </c>
      <c r="M23" t="s">
        <v>4277</v>
      </c>
      <c r="O23" t="s">
        <v>4282</v>
      </c>
      <c r="P23" t="s">
        <v>4306</v>
      </c>
      <c r="Q23" t="s">
        <v>5732</v>
      </c>
      <c r="R23" t="s">
        <v>5753</v>
      </c>
      <c r="S23" t="s">
        <v>5759</v>
      </c>
      <c r="T23" t="s">
        <v>4276</v>
      </c>
      <c r="V23" t="s">
        <v>5767</v>
      </c>
      <c r="Y23">
        <v>1500</v>
      </c>
      <c r="Z23" t="s">
        <v>5803</v>
      </c>
      <c r="AA23" t="s">
        <v>5804</v>
      </c>
      <c r="AB23" t="s">
        <v>5821</v>
      </c>
      <c r="AC23" t="s">
        <v>5851</v>
      </c>
      <c r="AE23" t="s">
        <v>7866</v>
      </c>
      <c r="AF23">
        <v>4</v>
      </c>
      <c r="AG23" t="s">
        <v>9269</v>
      </c>
      <c r="AI23">
        <v>2</v>
      </c>
      <c r="AJ23">
        <v>1</v>
      </c>
      <c r="AK23">
        <v>2</v>
      </c>
      <c r="AL23">
        <v>140.65</v>
      </c>
      <c r="AO23" t="s">
        <v>9298</v>
      </c>
      <c r="AP23">
        <v>30000</v>
      </c>
      <c r="AV23">
        <v>1</v>
      </c>
      <c r="AW23" t="s">
        <v>55</v>
      </c>
    </row>
    <row r="24" spans="1:49">
      <c r="A24" s="1">
        <f>HYPERLINK("https://cms.ls-nyc.org/matter/dynamic-profile/view/1900664","19-1900664")</f>
        <v>0</v>
      </c>
      <c r="B24" t="s">
        <v>49</v>
      </c>
      <c r="C24" t="s">
        <v>83</v>
      </c>
      <c r="D24" t="s">
        <v>87</v>
      </c>
      <c r="F24" t="s">
        <v>335</v>
      </c>
      <c r="G24" t="s">
        <v>1394</v>
      </c>
      <c r="H24" t="s">
        <v>2512</v>
      </c>
      <c r="I24">
        <v>1</v>
      </c>
      <c r="J24" t="s">
        <v>4238</v>
      </c>
      <c r="K24">
        <v>11413</v>
      </c>
      <c r="L24" t="s">
        <v>4275</v>
      </c>
      <c r="M24" t="s">
        <v>4277</v>
      </c>
      <c r="O24" t="s">
        <v>4283</v>
      </c>
      <c r="P24" t="s">
        <v>4307</v>
      </c>
      <c r="Q24" t="s">
        <v>5732</v>
      </c>
      <c r="R24" t="s">
        <v>5752</v>
      </c>
      <c r="T24" t="s">
        <v>4276</v>
      </c>
      <c r="V24" t="s">
        <v>5767</v>
      </c>
      <c r="X24" t="s">
        <v>87</v>
      </c>
      <c r="Y24">
        <v>1487</v>
      </c>
      <c r="Z24" t="s">
        <v>5803</v>
      </c>
      <c r="AA24" t="s">
        <v>5804</v>
      </c>
      <c r="AC24" t="s">
        <v>5852</v>
      </c>
      <c r="AE24" t="s">
        <v>7867</v>
      </c>
      <c r="AF24">
        <v>0</v>
      </c>
      <c r="AI24">
        <v>10</v>
      </c>
      <c r="AJ24">
        <v>1</v>
      </c>
      <c r="AK24">
        <v>0</v>
      </c>
      <c r="AL24">
        <v>148.92</v>
      </c>
      <c r="AO24" t="s">
        <v>1425</v>
      </c>
      <c r="AP24">
        <v>18600</v>
      </c>
      <c r="AV24">
        <v>1.1</v>
      </c>
      <c r="AW24" t="s">
        <v>9547</v>
      </c>
    </row>
    <row r="25" spans="1:49">
      <c r="A25" s="1">
        <f>HYPERLINK("https://cms.ls-nyc.org/matter/dynamic-profile/view/1874545","18-1874545")</f>
        <v>0</v>
      </c>
      <c r="B25" t="s">
        <v>49</v>
      </c>
      <c r="C25" t="s">
        <v>82</v>
      </c>
      <c r="D25" t="s">
        <v>103</v>
      </c>
      <c r="E25" t="s">
        <v>244</v>
      </c>
      <c r="F25" t="s">
        <v>336</v>
      </c>
      <c r="G25" t="s">
        <v>1395</v>
      </c>
      <c r="H25" t="s">
        <v>2513</v>
      </c>
      <c r="I25" t="s">
        <v>3849</v>
      </c>
      <c r="J25" t="s">
        <v>4222</v>
      </c>
      <c r="K25">
        <v>11434</v>
      </c>
      <c r="L25" t="s">
        <v>4275</v>
      </c>
      <c r="M25" t="s">
        <v>4275</v>
      </c>
      <c r="O25" t="s">
        <v>4281</v>
      </c>
      <c r="P25" t="s">
        <v>4308</v>
      </c>
      <c r="Q25" t="s">
        <v>5732</v>
      </c>
      <c r="R25" t="s">
        <v>5751</v>
      </c>
      <c r="S25" t="s">
        <v>5758</v>
      </c>
      <c r="T25" t="s">
        <v>4276</v>
      </c>
      <c r="V25" t="s">
        <v>5767</v>
      </c>
      <c r="W25" t="s">
        <v>5772</v>
      </c>
      <c r="X25" t="s">
        <v>296</v>
      </c>
      <c r="Y25">
        <v>500</v>
      </c>
      <c r="Z25" t="s">
        <v>5803</v>
      </c>
      <c r="AA25" t="s">
        <v>5805</v>
      </c>
      <c r="AB25" t="s">
        <v>5822</v>
      </c>
      <c r="AC25" t="s">
        <v>5853</v>
      </c>
      <c r="AD25" t="s">
        <v>4700</v>
      </c>
      <c r="AE25" t="s">
        <v>7868</v>
      </c>
      <c r="AF25">
        <v>2</v>
      </c>
      <c r="AG25" t="s">
        <v>9269</v>
      </c>
      <c r="AH25" t="s">
        <v>4280</v>
      </c>
      <c r="AI25">
        <v>5</v>
      </c>
      <c r="AJ25">
        <v>1</v>
      </c>
      <c r="AK25">
        <v>0</v>
      </c>
      <c r="AL25">
        <v>172.49</v>
      </c>
      <c r="AO25" t="s">
        <v>1425</v>
      </c>
      <c r="AP25">
        <v>20940</v>
      </c>
      <c r="AT25" t="s">
        <v>9370</v>
      </c>
      <c r="AU25" t="s">
        <v>9378</v>
      </c>
      <c r="AV25">
        <v>7.3</v>
      </c>
      <c r="AW25" t="s">
        <v>60</v>
      </c>
    </row>
    <row r="26" spans="1:49">
      <c r="A26" s="1">
        <f>HYPERLINK("https://cms.ls-nyc.org/matter/dynamic-profile/view/1899359","19-1899359")</f>
        <v>0</v>
      </c>
      <c r="B26" t="s">
        <v>49</v>
      </c>
      <c r="C26" t="s">
        <v>83</v>
      </c>
      <c r="D26" t="s">
        <v>104</v>
      </c>
      <c r="F26" t="s">
        <v>337</v>
      </c>
      <c r="G26" t="s">
        <v>977</v>
      </c>
      <c r="H26" t="s">
        <v>2514</v>
      </c>
      <c r="J26" t="s">
        <v>4222</v>
      </c>
      <c r="K26">
        <v>11434</v>
      </c>
      <c r="L26" t="s">
        <v>4275</v>
      </c>
      <c r="M26" t="s">
        <v>4277</v>
      </c>
      <c r="O26" t="s">
        <v>4281</v>
      </c>
      <c r="P26" t="s">
        <v>4309</v>
      </c>
      <c r="Q26" t="s">
        <v>5732</v>
      </c>
      <c r="R26" t="s">
        <v>5752</v>
      </c>
      <c r="V26" t="s">
        <v>5767</v>
      </c>
      <c r="X26" t="s">
        <v>104</v>
      </c>
      <c r="Y26">
        <v>15000</v>
      </c>
      <c r="Z26" t="s">
        <v>5803</v>
      </c>
      <c r="AA26" t="s">
        <v>5804</v>
      </c>
      <c r="AC26" t="s">
        <v>5854</v>
      </c>
      <c r="AE26" t="s">
        <v>7869</v>
      </c>
      <c r="AF26">
        <v>0</v>
      </c>
      <c r="AI26">
        <v>8</v>
      </c>
      <c r="AJ26">
        <v>3</v>
      </c>
      <c r="AK26">
        <v>0</v>
      </c>
      <c r="AL26">
        <v>187.53</v>
      </c>
      <c r="AO26" t="s">
        <v>1425</v>
      </c>
      <c r="AP26">
        <v>40000</v>
      </c>
      <c r="AV26">
        <v>0.55</v>
      </c>
      <c r="AW26" t="s">
        <v>9547</v>
      </c>
    </row>
    <row r="27" spans="1:49">
      <c r="A27" s="1">
        <f>HYPERLINK("https://cms.ls-nyc.org/matter/dynamic-profile/view/1895978","19-1895978")</f>
        <v>0</v>
      </c>
      <c r="B27" t="s">
        <v>49</v>
      </c>
      <c r="C27" t="s">
        <v>82</v>
      </c>
      <c r="D27" t="s">
        <v>105</v>
      </c>
      <c r="E27" t="s">
        <v>288</v>
      </c>
      <c r="F27" t="s">
        <v>338</v>
      </c>
      <c r="G27" t="s">
        <v>1396</v>
      </c>
      <c r="H27" t="s">
        <v>2515</v>
      </c>
      <c r="I27" t="s">
        <v>3850</v>
      </c>
      <c r="J27" t="s">
        <v>4222</v>
      </c>
      <c r="K27">
        <v>11433</v>
      </c>
      <c r="L27" t="s">
        <v>4275</v>
      </c>
      <c r="M27" t="s">
        <v>4275</v>
      </c>
      <c r="N27" t="s">
        <v>4278</v>
      </c>
      <c r="O27" t="s">
        <v>4281</v>
      </c>
      <c r="P27" t="s">
        <v>4310</v>
      </c>
      <c r="Q27" t="s">
        <v>5731</v>
      </c>
      <c r="R27" t="s">
        <v>5751</v>
      </c>
      <c r="S27" t="s">
        <v>5758</v>
      </c>
      <c r="T27" t="s">
        <v>4276</v>
      </c>
      <c r="V27" t="s">
        <v>5768</v>
      </c>
      <c r="W27" t="s">
        <v>5772</v>
      </c>
      <c r="X27" t="s">
        <v>138</v>
      </c>
      <c r="Y27">
        <v>197</v>
      </c>
      <c r="Z27" t="s">
        <v>5803</v>
      </c>
      <c r="AA27" t="s">
        <v>5807</v>
      </c>
      <c r="AB27" t="s">
        <v>5823</v>
      </c>
      <c r="AC27" t="s">
        <v>5855</v>
      </c>
      <c r="AE27" t="s">
        <v>7870</v>
      </c>
      <c r="AF27">
        <v>56</v>
      </c>
      <c r="AG27" t="s">
        <v>9271</v>
      </c>
      <c r="AH27" t="s">
        <v>5806</v>
      </c>
      <c r="AI27">
        <v>4</v>
      </c>
      <c r="AJ27">
        <v>1</v>
      </c>
      <c r="AK27">
        <v>2</v>
      </c>
      <c r="AL27">
        <v>188.94</v>
      </c>
      <c r="AO27" t="s">
        <v>1425</v>
      </c>
      <c r="AP27">
        <v>40300</v>
      </c>
      <c r="AS27" t="s">
        <v>9339</v>
      </c>
      <c r="AT27" t="s">
        <v>9369</v>
      </c>
      <c r="AU27" t="s">
        <v>9383</v>
      </c>
      <c r="AV27">
        <v>1.17</v>
      </c>
      <c r="AW27" t="s">
        <v>9548</v>
      </c>
    </row>
    <row r="28" spans="1:49">
      <c r="A28" s="1">
        <f>HYPERLINK("https://cms.ls-nyc.org/matter/dynamic-profile/view/1897394","19-1897394")</f>
        <v>0</v>
      </c>
      <c r="B28" t="s">
        <v>49</v>
      </c>
      <c r="C28" t="s">
        <v>82</v>
      </c>
      <c r="D28" t="s">
        <v>106</v>
      </c>
      <c r="E28" t="s">
        <v>161</v>
      </c>
      <c r="F28" t="s">
        <v>339</v>
      </c>
      <c r="G28" t="s">
        <v>1397</v>
      </c>
      <c r="H28" t="s">
        <v>2516</v>
      </c>
      <c r="I28" t="s">
        <v>3851</v>
      </c>
      <c r="J28" t="s">
        <v>4229</v>
      </c>
      <c r="K28">
        <v>11367</v>
      </c>
      <c r="L28" t="s">
        <v>4275</v>
      </c>
      <c r="M28" t="s">
        <v>4275</v>
      </c>
      <c r="O28" t="s">
        <v>4283</v>
      </c>
      <c r="P28" t="s">
        <v>4311</v>
      </c>
      <c r="Q28" t="s">
        <v>5732</v>
      </c>
      <c r="R28" t="s">
        <v>5753</v>
      </c>
      <c r="S28" t="s">
        <v>5759</v>
      </c>
      <c r="T28" t="s">
        <v>4275</v>
      </c>
      <c r="V28" t="s">
        <v>5767</v>
      </c>
      <c r="W28" t="s">
        <v>5772</v>
      </c>
      <c r="X28" t="s">
        <v>237</v>
      </c>
      <c r="Y28">
        <v>1136</v>
      </c>
      <c r="Z28" t="s">
        <v>5803</v>
      </c>
      <c r="AA28" t="s">
        <v>5804</v>
      </c>
      <c r="AB28" t="s">
        <v>5821</v>
      </c>
      <c r="AC28" t="s">
        <v>5856</v>
      </c>
      <c r="AD28" t="s">
        <v>7289</v>
      </c>
      <c r="AE28" t="s">
        <v>7289</v>
      </c>
      <c r="AF28">
        <v>12</v>
      </c>
      <c r="AG28" t="s">
        <v>9272</v>
      </c>
      <c r="AH28" t="s">
        <v>4280</v>
      </c>
      <c r="AI28">
        <v>30</v>
      </c>
      <c r="AJ28">
        <v>2</v>
      </c>
      <c r="AK28">
        <v>1</v>
      </c>
      <c r="AL28">
        <v>196.91</v>
      </c>
      <c r="AO28" t="s">
        <v>9300</v>
      </c>
      <c r="AP28">
        <v>42000</v>
      </c>
      <c r="AV28">
        <v>2.45</v>
      </c>
      <c r="AW28" t="s">
        <v>9547</v>
      </c>
    </row>
    <row r="29" spans="1:49">
      <c r="A29" s="1">
        <f>HYPERLINK("https://cms.ls-nyc.org/matter/dynamic-profile/view/1897570","19-1897570")</f>
        <v>0</v>
      </c>
      <c r="B29" t="s">
        <v>49</v>
      </c>
      <c r="C29" t="s">
        <v>83</v>
      </c>
      <c r="D29" t="s">
        <v>107</v>
      </c>
      <c r="F29" t="s">
        <v>340</v>
      </c>
      <c r="G29" t="s">
        <v>1398</v>
      </c>
      <c r="H29" t="s">
        <v>2517</v>
      </c>
      <c r="I29" t="s">
        <v>3852</v>
      </c>
      <c r="J29" t="s">
        <v>4222</v>
      </c>
      <c r="K29">
        <v>11434</v>
      </c>
      <c r="L29" t="s">
        <v>4275</v>
      </c>
      <c r="M29" t="s">
        <v>4275</v>
      </c>
      <c r="O29" t="s">
        <v>4281</v>
      </c>
      <c r="P29" t="s">
        <v>4312</v>
      </c>
      <c r="Q29" t="s">
        <v>5731</v>
      </c>
      <c r="R29" t="s">
        <v>5752</v>
      </c>
      <c r="T29" t="s">
        <v>4276</v>
      </c>
      <c r="V29" t="s">
        <v>5767</v>
      </c>
      <c r="X29" t="s">
        <v>107</v>
      </c>
      <c r="Y29">
        <v>1466.86</v>
      </c>
      <c r="Z29" t="s">
        <v>5803</v>
      </c>
      <c r="AA29" t="s">
        <v>5805</v>
      </c>
      <c r="AC29" t="s">
        <v>5857</v>
      </c>
      <c r="AE29" t="s">
        <v>7871</v>
      </c>
      <c r="AF29">
        <v>0</v>
      </c>
      <c r="AG29" t="s">
        <v>9273</v>
      </c>
      <c r="AH29" t="s">
        <v>4280</v>
      </c>
      <c r="AI29">
        <v>7</v>
      </c>
      <c r="AJ29">
        <v>2</v>
      </c>
      <c r="AK29">
        <v>1</v>
      </c>
      <c r="AL29">
        <v>205.14</v>
      </c>
      <c r="AO29" t="s">
        <v>1425</v>
      </c>
      <c r="AP29">
        <v>43756</v>
      </c>
      <c r="AV29">
        <v>7.3</v>
      </c>
      <c r="AW29" t="s">
        <v>54</v>
      </c>
    </row>
    <row r="30" spans="1:49">
      <c r="A30" s="1">
        <f>HYPERLINK("https://cms.ls-nyc.org/matter/dynamic-profile/view/1884839","18-1884839")</f>
        <v>0</v>
      </c>
      <c r="B30" t="s">
        <v>49</v>
      </c>
      <c r="C30" t="s">
        <v>82</v>
      </c>
      <c r="D30" t="s">
        <v>108</v>
      </c>
      <c r="E30" t="s">
        <v>281</v>
      </c>
      <c r="F30" t="s">
        <v>341</v>
      </c>
      <c r="G30" t="s">
        <v>1399</v>
      </c>
      <c r="H30" t="s">
        <v>2518</v>
      </c>
      <c r="I30">
        <v>4</v>
      </c>
      <c r="J30" t="s">
        <v>4222</v>
      </c>
      <c r="K30">
        <v>11433</v>
      </c>
      <c r="L30" t="s">
        <v>4275</v>
      </c>
      <c r="M30" t="s">
        <v>4275</v>
      </c>
      <c r="O30" t="s">
        <v>4281</v>
      </c>
      <c r="P30" t="s">
        <v>4313</v>
      </c>
      <c r="Q30" t="s">
        <v>5732</v>
      </c>
      <c r="R30" t="s">
        <v>5751</v>
      </c>
      <c r="S30" t="s">
        <v>5758</v>
      </c>
      <c r="T30" t="s">
        <v>4276</v>
      </c>
      <c r="V30" t="s">
        <v>5767</v>
      </c>
      <c r="W30" t="s">
        <v>5772</v>
      </c>
      <c r="X30" t="s">
        <v>202</v>
      </c>
      <c r="Y30">
        <v>2300</v>
      </c>
      <c r="Z30" t="s">
        <v>5803</v>
      </c>
      <c r="AA30" t="s">
        <v>5805</v>
      </c>
      <c r="AB30" t="s">
        <v>5820</v>
      </c>
      <c r="AC30" t="s">
        <v>5858</v>
      </c>
      <c r="AE30" t="s">
        <v>7872</v>
      </c>
      <c r="AF30">
        <v>3</v>
      </c>
      <c r="AG30" t="s">
        <v>9269</v>
      </c>
      <c r="AI30">
        <v>3</v>
      </c>
      <c r="AJ30">
        <v>5</v>
      </c>
      <c r="AK30">
        <v>0</v>
      </c>
      <c r="AL30">
        <v>207.34</v>
      </c>
      <c r="AM30" t="s">
        <v>202</v>
      </c>
      <c r="AN30" t="s">
        <v>9293</v>
      </c>
      <c r="AO30" t="s">
        <v>1425</v>
      </c>
      <c r="AP30">
        <v>61000</v>
      </c>
      <c r="AS30" t="s">
        <v>9336</v>
      </c>
      <c r="AT30" t="s">
        <v>9369</v>
      </c>
      <c r="AU30" t="s">
        <v>9384</v>
      </c>
      <c r="AV30">
        <v>1.05</v>
      </c>
      <c r="AW30" t="s">
        <v>60</v>
      </c>
    </row>
    <row r="31" spans="1:49">
      <c r="A31" s="1">
        <f>HYPERLINK("https://cms.ls-nyc.org/matter/dynamic-profile/view/1890620","19-1890620")</f>
        <v>0</v>
      </c>
      <c r="B31" t="s">
        <v>49</v>
      </c>
      <c r="C31" t="s">
        <v>82</v>
      </c>
      <c r="D31" t="s">
        <v>109</v>
      </c>
      <c r="E31" t="s">
        <v>288</v>
      </c>
      <c r="F31" t="s">
        <v>342</v>
      </c>
      <c r="G31" t="s">
        <v>1400</v>
      </c>
      <c r="H31" t="s">
        <v>2519</v>
      </c>
      <c r="J31" t="s">
        <v>4222</v>
      </c>
      <c r="K31">
        <v>11434</v>
      </c>
      <c r="L31" t="s">
        <v>4275</v>
      </c>
      <c r="M31" t="s">
        <v>4275</v>
      </c>
      <c r="N31" t="s">
        <v>4278</v>
      </c>
      <c r="O31" t="s">
        <v>4281</v>
      </c>
      <c r="P31" t="s">
        <v>4314</v>
      </c>
      <c r="Q31" t="s">
        <v>5731</v>
      </c>
      <c r="R31" t="s">
        <v>5753</v>
      </c>
      <c r="S31" t="s">
        <v>5759</v>
      </c>
      <c r="T31" t="s">
        <v>4276</v>
      </c>
      <c r="V31" t="s">
        <v>5767</v>
      </c>
      <c r="W31" t="s">
        <v>5772</v>
      </c>
      <c r="Y31">
        <v>978</v>
      </c>
      <c r="Z31" t="s">
        <v>5803</v>
      </c>
      <c r="AA31" t="s">
        <v>5805</v>
      </c>
      <c r="AB31" t="s">
        <v>5821</v>
      </c>
      <c r="AC31" t="s">
        <v>5859</v>
      </c>
      <c r="AE31" t="s">
        <v>7289</v>
      </c>
      <c r="AF31">
        <v>0</v>
      </c>
      <c r="AG31" t="s">
        <v>9273</v>
      </c>
      <c r="AH31" t="s">
        <v>4280</v>
      </c>
      <c r="AI31">
        <v>13</v>
      </c>
      <c r="AJ31">
        <v>1</v>
      </c>
      <c r="AK31">
        <v>1</v>
      </c>
      <c r="AL31">
        <v>473.09</v>
      </c>
      <c r="AO31" t="s">
        <v>1425</v>
      </c>
      <c r="AP31">
        <v>80000</v>
      </c>
      <c r="AV31">
        <v>0.4</v>
      </c>
      <c r="AW31" t="s">
        <v>54</v>
      </c>
    </row>
    <row r="32" spans="1:49">
      <c r="A32" s="1">
        <f>HYPERLINK("https://cms.ls-nyc.org/matter/dynamic-profile/view/1897160","19-1897160")</f>
        <v>0</v>
      </c>
      <c r="B32" t="s">
        <v>50</v>
      </c>
      <c r="C32" t="s">
        <v>83</v>
      </c>
      <c r="D32" t="s">
        <v>110</v>
      </c>
      <c r="F32" t="s">
        <v>343</v>
      </c>
      <c r="G32" t="s">
        <v>1401</v>
      </c>
      <c r="H32" t="s">
        <v>2520</v>
      </c>
      <c r="I32" t="s">
        <v>3853</v>
      </c>
      <c r="J32" t="s">
        <v>4222</v>
      </c>
      <c r="K32">
        <v>11434</v>
      </c>
      <c r="L32" t="s">
        <v>4275</v>
      </c>
      <c r="M32" t="s">
        <v>4275</v>
      </c>
      <c r="O32" t="s">
        <v>4281</v>
      </c>
      <c r="P32" t="s">
        <v>4315</v>
      </c>
      <c r="Q32" t="s">
        <v>5732</v>
      </c>
      <c r="R32" t="s">
        <v>5752</v>
      </c>
      <c r="T32" t="s">
        <v>4276</v>
      </c>
      <c r="V32" t="s">
        <v>5767</v>
      </c>
      <c r="W32" t="s">
        <v>5772</v>
      </c>
      <c r="X32" t="s">
        <v>110</v>
      </c>
      <c r="Y32">
        <v>0</v>
      </c>
      <c r="Z32" t="s">
        <v>5803</v>
      </c>
      <c r="AA32" t="s">
        <v>5806</v>
      </c>
      <c r="AC32" t="s">
        <v>5860</v>
      </c>
      <c r="AE32" t="s">
        <v>7873</v>
      </c>
      <c r="AF32">
        <v>3</v>
      </c>
      <c r="AG32" t="s">
        <v>9269</v>
      </c>
      <c r="AI32">
        <v>3</v>
      </c>
      <c r="AJ32">
        <v>2</v>
      </c>
      <c r="AK32">
        <v>0</v>
      </c>
      <c r="AL32">
        <v>0</v>
      </c>
      <c r="AO32" t="s">
        <v>1425</v>
      </c>
      <c r="AP32">
        <v>0</v>
      </c>
      <c r="AV32">
        <v>5.1</v>
      </c>
      <c r="AW32" t="s">
        <v>50</v>
      </c>
    </row>
    <row r="33" spans="1:49">
      <c r="A33" s="1">
        <f>HYPERLINK("https://cms.ls-nyc.org/matter/dynamic-profile/view/1882629","18-1882629")</f>
        <v>0</v>
      </c>
      <c r="B33" t="s">
        <v>50</v>
      </c>
      <c r="C33" t="s">
        <v>83</v>
      </c>
      <c r="D33" t="s">
        <v>111</v>
      </c>
      <c r="F33" t="s">
        <v>344</v>
      </c>
      <c r="G33" t="s">
        <v>1402</v>
      </c>
      <c r="H33" t="s">
        <v>2521</v>
      </c>
      <c r="I33" t="s">
        <v>3854</v>
      </c>
      <c r="J33" t="s">
        <v>4239</v>
      </c>
      <c r="K33">
        <v>11420</v>
      </c>
      <c r="L33" t="s">
        <v>4275</v>
      </c>
      <c r="M33" t="s">
        <v>4275</v>
      </c>
      <c r="O33" t="s">
        <v>4282</v>
      </c>
      <c r="P33" t="s">
        <v>4316</v>
      </c>
      <c r="Q33" t="s">
        <v>5732</v>
      </c>
      <c r="R33" t="s">
        <v>5753</v>
      </c>
      <c r="T33" t="s">
        <v>4276</v>
      </c>
      <c r="V33" t="s">
        <v>5767</v>
      </c>
      <c r="W33" t="s">
        <v>5772</v>
      </c>
      <c r="X33" t="s">
        <v>111</v>
      </c>
      <c r="Y33">
        <v>0</v>
      </c>
      <c r="Z33" t="s">
        <v>5803</v>
      </c>
      <c r="AA33" t="s">
        <v>5804</v>
      </c>
      <c r="AC33" t="s">
        <v>5861</v>
      </c>
      <c r="AD33" t="s">
        <v>4700</v>
      </c>
      <c r="AE33" t="s">
        <v>7874</v>
      </c>
      <c r="AF33">
        <v>1</v>
      </c>
      <c r="AG33" t="s">
        <v>9269</v>
      </c>
      <c r="AH33" t="s">
        <v>4280</v>
      </c>
      <c r="AI33">
        <v>3</v>
      </c>
      <c r="AJ33">
        <v>1</v>
      </c>
      <c r="AK33">
        <v>0</v>
      </c>
      <c r="AL33">
        <v>0</v>
      </c>
      <c r="AO33" t="s">
        <v>1425</v>
      </c>
      <c r="AP33">
        <v>0</v>
      </c>
      <c r="AR33" t="s">
        <v>9326</v>
      </c>
      <c r="AS33" t="s">
        <v>5806</v>
      </c>
      <c r="AT33" t="s">
        <v>9369</v>
      </c>
      <c r="AU33" t="s">
        <v>9385</v>
      </c>
      <c r="AV33">
        <v>0.5</v>
      </c>
      <c r="AW33" t="s">
        <v>73</v>
      </c>
    </row>
    <row r="34" spans="1:49">
      <c r="A34" s="1">
        <f>HYPERLINK("https://cms.ls-nyc.org/matter/dynamic-profile/view/1873821","18-1873821")</f>
        <v>0</v>
      </c>
      <c r="B34" t="s">
        <v>50</v>
      </c>
      <c r="C34" t="s">
        <v>82</v>
      </c>
      <c r="D34" t="s">
        <v>112</v>
      </c>
      <c r="E34" t="s">
        <v>257</v>
      </c>
      <c r="F34" t="s">
        <v>345</v>
      </c>
      <c r="G34" t="s">
        <v>1403</v>
      </c>
      <c r="H34" t="s">
        <v>2522</v>
      </c>
      <c r="I34" t="s">
        <v>3855</v>
      </c>
      <c r="J34" t="s">
        <v>4225</v>
      </c>
      <c r="K34">
        <v>11385</v>
      </c>
      <c r="L34" t="s">
        <v>4275</v>
      </c>
      <c r="M34" t="s">
        <v>4275</v>
      </c>
      <c r="O34" t="s">
        <v>4281</v>
      </c>
      <c r="P34" t="s">
        <v>4317</v>
      </c>
      <c r="Q34" t="s">
        <v>5732</v>
      </c>
      <c r="R34" t="s">
        <v>5753</v>
      </c>
      <c r="S34" t="s">
        <v>5759</v>
      </c>
      <c r="T34" t="s">
        <v>4276</v>
      </c>
      <c r="V34" t="s">
        <v>5767</v>
      </c>
      <c r="W34" t="s">
        <v>5774</v>
      </c>
      <c r="X34" t="s">
        <v>112</v>
      </c>
      <c r="Y34">
        <v>577</v>
      </c>
      <c r="Z34" t="s">
        <v>5803</v>
      </c>
      <c r="AA34" t="s">
        <v>5804</v>
      </c>
      <c r="AB34" t="s">
        <v>5821</v>
      </c>
      <c r="AC34" t="s">
        <v>5862</v>
      </c>
      <c r="AD34" t="s">
        <v>7290</v>
      </c>
      <c r="AE34" t="s">
        <v>7875</v>
      </c>
      <c r="AF34">
        <v>1</v>
      </c>
      <c r="AG34" t="s">
        <v>9269</v>
      </c>
      <c r="AH34" t="s">
        <v>4280</v>
      </c>
      <c r="AI34">
        <v>2</v>
      </c>
      <c r="AJ34">
        <v>1</v>
      </c>
      <c r="AK34">
        <v>0</v>
      </c>
      <c r="AL34">
        <v>0</v>
      </c>
      <c r="AO34" t="s">
        <v>1425</v>
      </c>
      <c r="AP34">
        <v>0</v>
      </c>
      <c r="AV34">
        <v>2.65</v>
      </c>
      <c r="AW34" t="s">
        <v>73</v>
      </c>
    </row>
    <row r="35" spans="1:49">
      <c r="A35" s="1">
        <f>HYPERLINK("https://cms.ls-nyc.org/matter/dynamic-profile/view/1882598","18-1882598")</f>
        <v>0</v>
      </c>
      <c r="B35" t="s">
        <v>50</v>
      </c>
      <c r="C35" t="s">
        <v>83</v>
      </c>
      <c r="D35" t="s">
        <v>111</v>
      </c>
      <c r="F35" t="s">
        <v>329</v>
      </c>
      <c r="G35" t="s">
        <v>1404</v>
      </c>
      <c r="H35" t="s">
        <v>2523</v>
      </c>
      <c r="I35" t="s">
        <v>3856</v>
      </c>
      <c r="J35" t="s">
        <v>4225</v>
      </c>
      <c r="K35">
        <v>11385</v>
      </c>
      <c r="L35" t="s">
        <v>4275</v>
      </c>
      <c r="M35" t="s">
        <v>4275</v>
      </c>
      <c r="O35" t="s">
        <v>4281</v>
      </c>
      <c r="P35" t="s">
        <v>4318</v>
      </c>
      <c r="Q35" t="s">
        <v>5732</v>
      </c>
      <c r="R35" t="s">
        <v>5751</v>
      </c>
      <c r="T35" t="s">
        <v>4276</v>
      </c>
      <c r="V35" t="s">
        <v>5767</v>
      </c>
      <c r="W35" t="s">
        <v>5772</v>
      </c>
      <c r="X35" t="s">
        <v>111</v>
      </c>
      <c r="Y35">
        <v>870</v>
      </c>
      <c r="Z35" t="s">
        <v>5803</v>
      </c>
      <c r="AA35" t="s">
        <v>5804</v>
      </c>
      <c r="AC35" t="s">
        <v>5863</v>
      </c>
      <c r="AE35" t="s">
        <v>7876</v>
      </c>
      <c r="AF35">
        <v>6</v>
      </c>
      <c r="AG35" t="s">
        <v>9272</v>
      </c>
      <c r="AH35" t="s">
        <v>4280</v>
      </c>
      <c r="AI35">
        <v>30</v>
      </c>
      <c r="AJ35">
        <v>1</v>
      </c>
      <c r="AK35">
        <v>0</v>
      </c>
      <c r="AL35">
        <v>0</v>
      </c>
      <c r="AO35" t="s">
        <v>1425</v>
      </c>
      <c r="AP35">
        <v>0</v>
      </c>
      <c r="AV35">
        <v>56.95</v>
      </c>
      <c r="AW35" t="s">
        <v>73</v>
      </c>
    </row>
    <row r="36" spans="1:49">
      <c r="A36" s="1">
        <f>HYPERLINK("https://cms.ls-nyc.org/matter/dynamic-profile/view/1892120","19-1892120")</f>
        <v>0</v>
      </c>
      <c r="B36" t="s">
        <v>50</v>
      </c>
      <c r="C36" t="s">
        <v>82</v>
      </c>
      <c r="D36" t="s">
        <v>89</v>
      </c>
      <c r="E36" t="s">
        <v>99</v>
      </c>
      <c r="F36" t="s">
        <v>346</v>
      </c>
      <c r="G36" t="s">
        <v>1405</v>
      </c>
      <c r="H36" t="s">
        <v>2524</v>
      </c>
      <c r="I36" t="s">
        <v>3857</v>
      </c>
      <c r="J36" t="s">
        <v>4240</v>
      </c>
      <c r="K36">
        <v>11373</v>
      </c>
      <c r="L36" t="s">
        <v>4275</v>
      </c>
      <c r="M36" t="s">
        <v>4275</v>
      </c>
      <c r="N36" t="s">
        <v>4278</v>
      </c>
      <c r="O36" t="s">
        <v>4281</v>
      </c>
      <c r="P36" t="s">
        <v>4319</v>
      </c>
      <c r="Q36" t="s">
        <v>5732</v>
      </c>
      <c r="R36" t="s">
        <v>5751</v>
      </c>
      <c r="S36" t="s">
        <v>5758</v>
      </c>
      <c r="T36" t="s">
        <v>4276</v>
      </c>
      <c r="V36" t="s">
        <v>5767</v>
      </c>
      <c r="W36" t="s">
        <v>5772</v>
      </c>
      <c r="X36" t="s">
        <v>89</v>
      </c>
      <c r="Y36">
        <v>900</v>
      </c>
      <c r="Z36" t="s">
        <v>5803</v>
      </c>
      <c r="AA36" t="s">
        <v>5805</v>
      </c>
      <c r="AB36" t="s">
        <v>5820</v>
      </c>
      <c r="AC36" t="s">
        <v>5864</v>
      </c>
      <c r="AD36" t="s">
        <v>4700</v>
      </c>
      <c r="AE36" t="s">
        <v>7289</v>
      </c>
      <c r="AF36">
        <v>107</v>
      </c>
      <c r="AG36" t="s">
        <v>9270</v>
      </c>
      <c r="AH36" t="s">
        <v>4280</v>
      </c>
      <c r="AI36">
        <v>1</v>
      </c>
      <c r="AJ36">
        <v>2</v>
      </c>
      <c r="AK36">
        <v>2</v>
      </c>
      <c r="AL36">
        <v>0</v>
      </c>
      <c r="AO36" t="s">
        <v>9298</v>
      </c>
      <c r="AP36">
        <v>0</v>
      </c>
      <c r="AR36" t="s">
        <v>9329</v>
      </c>
      <c r="AS36" t="s">
        <v>9340</v>
      </c>
      <c r="AT36" t="s">
        <v>9369</v>
      </c>
      <c r="AU36" t="s">
        <v>9386</v>
      </c>
      <c r="AV36">
        <v>11.35</v>
      </c>
      <c r="AW36" t="s">
        <v>54</v>
      </c>
    </row>
    <row r="37" spans="1:49">
      <c r="A37" s="1">
        <f>HYPERLINK("https://cms.ls-nyc.org/matter/dynamic-profile/view/1890844","19-1890844")</f>
        <v>0</v>
      </c>
      <c r="B37" t="s">
        <v>50</v>
      </c>
      <c r="C37" t="s">
        <v>83</v>
      </c>
      <c r="D37" t="s">
        <v>98</v>
      </c>
      <c r="F37" t="s">
        <v>347</v>
      </c>
      <c r="G37" t="s">
        <v>1406</v>
      </c>
      <c r="H37" t="s">
        <v>2525</v>
      </c>
      <c r="I37" t="s">
        <v>3858</v>
      </c>
      <c r="J37" t="s">
        <v>4241</v>
      </c>
      <c r="K37">
        <v>11368</v>
      </c>
      <c r="L37" t="s">
        <v>4275</v>
      </c>
      <c r="M37" t="s">
        <v>4275</v>
      </c>
      <c r="O37" t="s">
        <v>4282</v>
      </c>
      <c r="P37" t="s">
        <v>4320</v>
      </c>
      <c r="Q37" t="s">
        <v>5731</v>
      </c>
      <c r="R37" t="s">
        <v>5751</v>
      </c>
      <c r="T37" t="s">
        <v>4276</v>
      </c>
      <c r="V37" t="s">
        <v>5767</v>
      </c>
      <c r="W37" t="s">
        <v>5772</v>
      </c>
      <c r="X37" t="s">
        <v>98</v>
      </c>
      <c r="Y37">
        <v>235</v>
      </c>
      <c r="Z37" t="s">
        <v>5803</v>
      </c>
      <c r="AA37" t="s">
        <v>5804</v>
      </c>
      <c r="AC37" t="s">
        <v>5865</v>
      </c>
      <c r="AD37" t="s">
        <v>7291</v>
      </c>
      <c r="AE37" t="s">
        <v>7877</v>
      </c>
      <c r="AF37">
        <v>225</v>
      </c>
      <c r="AG37" t="s">
        <v>9272</v>
      </c>
      <c r="AH37" t="s">
        <v>9283</v>
      </c>
      <c r="AI37">
        <v>40</v>
      </c>
      <c r="AJ37">
        <v>1</v>
      </c>
      <c r="AK37">
        <v>1</v>
      </c>
      <c r="AL37">
        <v>0</v>
      </c>
      <c r="AO37" t="s">
        <v>1425</v>
      </c>
      <c r="AP37">
        <v>0</v>
      </c>
      <c r="AV37">
        <v>23.2</v>
      </c>
      <c r="AW37" t="s">
        <v>73</v>
      </c>
    </row>
    <row r="38" spans="1:49">
      <c r="A38" s="1">
        <f>HYPERLINK("https://cms.ls-nyc.org/matter/dynamic-profile/view/1872018","18-1872018")</f>
        <v>0</v>
      </c>
      <c r="B38" t="s">
        <v>50</v>
      </c>
      <c r="C38" t="s">
        <v>82</v>
      </c>
      <c r="D38" t="s">
        <v>113</v>
      </c>
      <c r="E38" t="s">
        <v>95</v>
      </c>
      <c r="F38" t="s">
        <v>348</v>
      </c>
      <c r="G38" t="s">
        <v>1407</v>
      </c>
      <c r="H38" t="s">
        <v>2526</v>
      </c>
      <c r="I38" t="s">
        <v>3841</v>
      </c>
      <c r="J38" t="s">
        <v>4222</v>
      </c>
      <c r="K38">
        <v>11433</v>
      </c>
      <c r="L38" t="s">
        <v>4275</v>
      </c>
      <c r="M38" t="s">
        <v>4275</v>
      </c>
      <c r="N38" t="s">
        <v>4278</v>
      </c>
      <c r="O38" t="s">
        <v>4281</v>
      </c>
      <c r="P38" t="s">
        <v>4321</v>
      </c>
      <c r="Q38" t="s">
        <v>5731</v>
      </c>
      <c r="R38" t="s">
        <v>5751</v>
      </c>
      <c r="S38" t="s">
        <v>5758</v>
      </c>
      <c r="T38" t="s">
        <v>4276</v>
      </c>
      <c r="V38" t="s">
        <v>5767</v>
      </c>
      <c r="W38" t="s">
        <v>5772</v>
      </c>
      <c r="X38" t="s">
        <v>113</v>
      </c>
      <c r="Y38">
        <v>1515</v>
      </c>
      <c r="Z38" t="s">
        <v>5803</v>
      </c>
      <c r="AA38" t="s">
        <v>5804</v>
      </c>
      <c r="AB38" t="s">
        <v>5820</v>
      </c>
      <c r="AC38" t="s">
        <v>5866</v>
      </c>
      <c r="AD38" t="s">
        <v>7292</v>
      </c>
      <c r="AE38" t="s">
        <v>7878</v>
      </c>
      <c r="AF38">
        <v>2</v>
      </c>
      <c r="AG38" t="s">
        <v>9269</v>
      </c>
      <c r="AH38" t="s">
        <v>9284</v>
      </c>
      <c r="AI38">
        <v>3</v>
      </c>
      <c r="AJ38">
        <v>1</v>
      </c>
      <c r="AK38">
        <v>2</v>
      </c>
      <c r="AL38">
        <v>0.93</v>
      </c>
      <c r="AN38" t="s">
        <v>9294</v>
      </c>
      <c r="AO38" t="s">
        <v>1425</v>
      </c>
      <c r="AP38">
        <v>194</v>
      </c>
      <c r="AR38" t="s">
        <v>9329</v>
      </c>
      <c r="AS38" t="s">
        <v>5806</v>
      </c>
      <c r="AT38" t="s">
        <v>9369</v>
      </c>
      <c r="AU38" t="s">
        <v>9387</v>
      </c>
      <c r="AV38">
        <v>37.2</v>
      </c>
      <c r="AW38" t="s">
        <v>54</v>
      </c>
    </row>
    <row r="39" spans="1:49">
      <c r="A39" s="1">
        <f>HYPERLINK("https://cms.ls-nyc.org/matter/dynamic-profile/view/1892997","19-1892997")</f>
        <v>0</v>
      </c>
      <c r="B39" t="s">
        <v>50</v>
      </c>
      <c r="C39" t="s">
        <v>83</v>
      </c>
      <c r="D39" t="s">
        <v>114</v>
      </c>
      <c r="F39" t="s">
        <v>349</v>
      </c>
      <c r="G39" t="s">
        <v>1408</v>
      </c>
      <c r="H39" t="s">
        <v>2527</v>
      </c>
      <c r="I39" t="s">
        <v>3859</v>
      </c>
      <c r="J39" t="s">
        <v>4229</v>
      </c>
      <c r="K39">
        <v>11355</v>
      </c>
      <c r="L39" t="s">
        <v>4275</v>
      </c>
      <c r="M39" t="s">
        <v>4275</v>
      </c>
      <c r="O39" t="s">
        <v>4282</v>
      </c>
      <c r="P39" t="s">
        <v>4322</v>
      </c>
      <c r="Q39" t="s">
        <v>5731</v>
      </c>
      <c r="R39" t="s">
        <v>5751</v>
      </c>
      <c r="T39" t="s">
        <v>4276</v>
      </c>
      <c r="V39" t="s">
        <v>5767</v>
      </c>
      <c r="W39" t="s">
        <v>5772</v>
      </c>
      <c r="X39" t="s">
        <v>114</v>
      </c>
      <c r="Y39">
        <v>848</v>
      </c>
      <c r="Z39" t="s">
        <v>5803</v>
      </c>
      <c r="AA39" t="s">
        <v>5804</v>
      </c>
      <c r="AC39" t="s">
        <v>5867</v>
      </c>
      <c r="AD39" t="s">
        <v>7293</v>
      </c>
      <c r="AE39" t="s">
        <v>7879</v>
      </c>
      <c r="AF39">
        <v>90</v>
      </c>
      <c r="AG39" t="s">
        <v>9274</v>
      </c>
      <c r="AH39" t="s">
        <v>4280</v>
      </c>
      <c r="AI39">
        <v>30</v>
      </c>
      <c r="AJ39">
        <v>1</v>
      </c>
      <c r="AK39">
        <v>0</v>
      </c>
      <c r="AL39">
        <v>6.63</v>
      </c>
      <c r="AO39" t="s">
        <v>1425</v>
      </c>
      <c r="AP39">
        <v>828</v>
      </c>
      <c r="AV39">
        <v>29.15</v>
      </c>
      <c r="AW39" t="s">
        <v>54</v>
      </c>
    </row>
    <row r="40" spans="1:49">
      <c r="A40" s="1">
        <f>HYPERLINK("https://cms.ls-nyc.org/matter/dynamic-profile/view/1891562","19-1891562")</f>
        <v>0</v>
      </c>
      <c r="B40" t="s">
        <v>50</v>
      </c>
      <c r="C40" t="s">
        <v>82</v>
      </c>
      <c r="D40" t="s">
        <v>115</v>
      </c>
      <c r="E40" t="s">
        <v>288</v>
      </c>
      <c r="F40" t="s">
        <v>350</v>
      </c>
      <c r="G40" t="s">
        <v>1409</v>
      </c>
      <c r="H40" t="s">
        <v>2528</v>
      </c>
      <c r="J40" t="s">
        <v>4241</v>
      </c>
      <c r="K40">
        <v>11368</v>
      </c>
      <c r="L40" t="s">
        <v>4275</v>
      </c>
      <c r="M40" t="s">
        <v>4275</v>
      </c>
      <c r="N40" t="s">
        <v>4278</v>
      </c>
      <c r="O40" t="s">
        <v>4282</v>
      </c>
      <c r="P40" t="s">
        <v>4323</v>
      </c>
      <c r="Q40" t="s">
        <v>5732</v>
      </c>
      <c r="R40" t="s">
        <v>5753</v>
      </c>
      <c r="S40" t="s">
        <v>5759</v>
      </c>
      <c r="T40" t="s">
        <v>4276</v>
      </c>
      <c r="V40" t="s">
        <v>5767</v>
      </c>
      <c r="W40" t="s">
        <v>5772</v>
      </c>
      <c r="X40" t="s">
        <v>115</v>
      </c>
      <c r="Y40">
        <v>1850</v>
      </c>
      <c r="Z40" t="s">
        <v>5803</v>
      </c>
      <c r="AA40" t="s">
        <v>5804</v>
      </c>
      <c r="AB40" t="s">
        <v>5821</v>
      </c>
      <c r="AC40" t="s">
        <v>5868</v>
      </c>
      <c r="AD40" t="s">
        <v>7294</v>
      </c>
      <c r="AE40" t="s">
        <v>7880</v>
      </c>
      <c r="AF40">
        <v>4</v>
      </c>
      <c r="AG40" t="s">
        <v>9269</v>
      </c>
      <c r="AH40" t="s">
        <v>4280</v>
      </c>
      <c r="AI40">
        <v>13</v>
      </c>
      <c r="AJ40">
        <v>2</v>
      </c>
      <c r="AK40">
        <v>3</v>
      </c>
      <c r="AL40">
        <v>9.94</v>
      </c>
      <c r="AO40" t="s">
        <v>1425</v>
      </c>
      <c r="AP40">
        <v>3000</v>
      </c>
      <c r="AU40" t="s">
        <v>9388</v>
      </c>
      <c r="AV40">
        <v>1</v>
      </c>
      <c r="AW40" t="s">
        <v>50</v>
      </c>
    </row>
    <row r="41" spans="1:49">
      <c r="A41" s="1">
        <f>HYPERLINK("https://cms.ls-nyc.org/matter/dynamic-profile/view/1890740","19-1890740")</f>
        <v>0</v>
      </c>
      <c r="B41" t="s">
        <v>50</v>
      </c>
      <c r="C41" t="s">
        <v>82</v>
      </c>
      <c r="D41" t="s">
        <v>116</v>
      </c>
      <c r="E41" t="s">
        <v>216</v>
      </c>
      <c r="F41" t="s">
        <v>351</v>
      </c>
      <c r="G41" t="s">
        <v>1410</v>
      </c>
      <c r="H41" t="s">
        <v>2529</v>
      </c>
      <c r="I41" t="s">
        <v>3860</v>
      </c>
      <c r="J41" t="s">
        <v>4230</v>
      </c>
      <c r="K41">
        <v>11101</v>
      </c>
      <c r="L41" t="s">
        <v>4275</v>
      </c>
      <c r="M41" t="s">
        <v>4275</v>
      </c>
      <c r="O41" t="s">
        <v>4282</v>
      </c>
      <c r="P41" t="s">
        <v>4324</v>
      </c>
      <c r="Q41" t="s">
        <v>5731</v>
      </c>
      <c r="R41" t="s">
        <v>5751</v>
      </c>
      <c r="S41" t="s">
        <v>5758</v>
      </c>
      <c r="T41" t="s">
        <v>4276</v>
      </c>
      <c r="V41" t="s">
        <v>5768</v>
      </c>
      <c r="W41" t="s">
        <v>5775</v>
      </c>
      <c r="X41" t="s">
        <v>116</v>
      </c>
      <c r="Y41">
        <v>294</v>
      </c>
      <c r="Z41" t="s">
        <v>5803</v>
      </c>
      <c r="AA41" t="s">
        <v>5808</v>
      </c>
      <c r="AB41" t="s">
        <v>5820</v>
      </c>
      <c r="AC41" t="s">
        <v>5869</v>
      </c>
      <c r="AD41" t="s">
        <v>7295</v>
      </c>
      <c r="AE41" t="s">
        <v>7881</v>
      </c>
      <c r="AF41">
        <v>525</v>
      </c>
      <c r="AG41" t="s">
        <v>9271</v>
      </c>
      <c r="AH41" t="s">
        <v>4280</v>
      </c>
      <c r="AI41">
        <v>7</v>
      </c>
      <c r="AJ41">
        <v>4</v>
      </c>
      <c r="AK41">
        <v>0</v>
      </c>
      <c r="AL41">
        <v>14.91</v>
      </c>
      <c r="AO41" t="s">
        <v>1425</v>
      </c>
      <c r="AP41">
        <v>3840</v>
      </c>
      <c r="AR41" t="s">
        <v>9326</v>
      </c>
      <c r="AS41" t="s">
        <v>5806</v>
      </c>
      <c r="AT41" t="s">
        <v>9369</v>
      </c>
      <c r="AU41" t="s">
        <v>9389</v>
      </c>
      <c r="AV41">
        <v>8.25</v>
      </c>
      <c r="AW41" t="s">
        <v>54</v>
      </c>
    </row>
    <row r="42" spans="1:49">
      <c r="A42" s="1">
        <f>HYPERLINK("https://cms.ls-nyc.org/matter/dynamic-profile/view/1900713","19-1900713")</f>
        <v>0</v>
      </c>
      <c r="B42" t="s">
        <v>50</v>
      </c>
      <c r="C42" t="s">
        <v>83</v>
      </c>
      <c r="D42" t="s">
        <v>97</v>
      </c>
      <c r="F42" t="s">
        <v>352</v>
      </c>
      <c r="G42" t="s">
        <v>1411</v>
      </c>
      <c r="H42" t="s">
        <v>2530</v>
      </c>
      <c r="I42" t="s">
        <v>3861</v>
      </c>
      <c r="J42" t="s">
        <v>4240</v>
      </c>
      <c r="K42">
        <v>11373</v>
      </c>
      <c r="L42" t="s">
        <v>4275</v>
      </c>
      <c r="M42" t="s">
        <v>4277</v>
      </c>
      <c r="N42" t="s">
        <v>4278</v>
      </c>
      <c r="O42" t="s">
        <v>4281</v>
      </c>
      <c r="P42" t="s">
        <v>4325</v>
      </c>
      <c r="Q42" t="s">
        <v>5731</v>
      </c>
      <c r="R42" t="s">
        <v>5751</v>
      </c>
      <c r="T42" t="s">
        <v>4276</v>
      </c>
      <c r="V42" t="s">
        <v>5767</v>
      </c>
      <c r="X42" t="s">
        <v>97</v>
      </c>
      <c r="Y42">
        <v>1319.5</v>
      </c>
      <c r="Z42" t="s">
        <v>5803</v>
      </c>
      <c r="AA42" t="s">
        <v>5805</v>
      </c>
      <c r="AC42" t="s">
        <v>5870</v>
      </c>
      <c r="AE42" t="s">
        <v>7882</v>
      </c>
      <c r="AF42">
        <v>0</v>
      </c>
      <c r="AG42" t="s">
        <v>9272</v>
      </c>
      <c r="AH42" t="s">
        <v>9283</v>
      </c>
      <c r="AI42">
        <v>2</v>
      </c>
      <c r="AJ42">
        <v>1</v>
      </c>
      <c r="AK42">
        <v>1</v>
      </c>
      <c r="AL42">
        <v>15.38</v>
      </c>
      <c r="AO42" t="s">
        <v>1425</v>
      </c>
      <c r="AP42">
        <v>2600</v>
      </c>
      <c r="AV42">
        <v>13.7</v>
      </c>
      <c r="AW42" t="s">
        <v>54</v>
      </c>
    </row>
    <row r="43" spans="1:49">
      <c r="A43" s="1">
        <f>HYPERLINK("https://cms.ls-nyc.org/matter/dynamic-profile/view/1896611","19-1896611")</f>
        <v>0</v>
      </c>
      <c r="B43" t="s">
        <v>50</v>
      </c>
      <c r="C43" t="s">
        <v>82</v>
      </c>
      <c r="D43" t="s">
        <v>117</v>
      </c>
      <c r="E43" t="s">
        <v>289</v>
      </c>
      <c r="F43" t="s">
        <v>353</v>
      </c>
      <c r="G43" t="s">
        <v>1412</v>
      </c>
      <c r="H43" t="s">
        <v>2531</v>
      </c>
      <c r="J43" t="s">
        <v>4223</v>
      </c>
      <c r="K43">
        <v>11423</v>
      </c>
      <c r="L43" t="s">
        <v>4275</v>
      </c>
      <c r="M43" t="s">
        <v>4275</v>
      </c>
      <c r="O43" t="s">
        <v>4282</v>
      </c>
      <c r="P43" t="s">
        <v>4326</v>
      </c>
      <c r="Q43" t="s">
        <v>5731</v>
      </c>
      <c r="R43" t="s">
        <v>5751</v>
      </c>
      <c r="S43" t="s">
        <v>5758</v>
      </c>
      <c r="T43" t="s">
        <v>4276</v>
      </c>
      <c r="V43" t="s">
        <v>5767</v>
      </c>
      <c r="W43" t="s">
        <v>5772</v>
      </c>
      <c r="X43" t="s">
        <v>117</v>
      </c>
      <c r="Y43">
        <v>1950</v>
      </c>
      <c r="Z43" t="s">
        <v>5803</v>
      </c>
      <c r="AA43" t="s">
        <v>5804</v>
      </c>
      <c r="AB43" t="s">
        <v>5820</v>
      </c>
      <c r="AC43" t="s">
        <v>5871</v>
      </c>
      <c r="AD43" t="s">
        <v>7296</v>
      </c>
      <c r="AE43" t="s">
        <v>7883</v>
      </c>
      <c r="AF43">
        <v>3</v>
      </c>
      <c r="AG43" t="s">
        <v>9269</v>
      </c>
      <c r="AH43" t="s">
        <v>4280</v>
      </c>
      <c r="AI43">
        <v>1</v>
      </c>
      <c r="AJ43">
        <v>1</v>
      </c>
      <c r="AK43">
        <v>2</v>
      </c>
      <c r="AL43">
        <v>17.67</v>
      </c>
      <c r="AO43" t="s">
        <v>1425</v>
      </c>
      <c r="AP43">
        <v>3770</v>
      </c>
      <c r="AR43" t="s">
        <v>9327</v>
      </c>
      <c r="AS43" t="s">
        <v>9341</v>
      </c>
      <c r="AT43" t="s">
        <v>9369</v>
      </c>
      <c r="AU43" t="s">
        <v>9390</v>
      </c>
      <c r="AV43">
        <v>4.1</v>
      </c>
      <c r="AW43" t="s">
        <v>50</v>
      </c>
    </row>
    <row r="44" spans="1:49">
      <c r="A44" s="1">
        <f>HYPERLINK("https://cms.ls-nyc.org/matter/dynamic-profile/view/1892079","19-1892079")</f>
        <v>0</v>
      </c>
      <c r="B44" t="s">
        <v>50</v>
      </c>
      <c r="C44" t="s">
        <v>83</v>
      </c>
      <c r="D44" t="s">
        <v>89</v>
      </c>
      <c r="F44" t="s">
        <v>354</v>
      </c>
      <c r="G44" t="s">
        <v>1413</v>
      </c>
      <c r="H44" t="s">
        <v>2532</v>
      </c>
      <c r="I44" t="s">
        <v>3862</v>
      </c>
      <c r="J44" t="s">
        <v>4222</v>
      </c>
      <c r="K44">
        <v>11434</v>
      </c>
      <c r="L44" t="s">
        <v>4275</v>
      </c>
      <c r="M44" t="s">
        <v>4275</v>
      </c>
      <c r="O44" t="s">
        <v>4281</v>
      </c>
      <c r="P44" t="s">
        <v>4327</v>
      </c>
      <c r="R44" t="s">
        <v>5751</v>
      </c>
      <c r="T44" t="s">
        <v>4276</v>
      </c>
      <c r="V44" t="s">
        <v>5767</v>
      </c>
      <c r="Y44">
        <v>875</v>
      </c>
      <c r="Z44" t="s">
        <v>5803</v>
      </c>
      <c r="AA44" t="s">
        <v>5805</v>
      </c>
      <c r="AC44" t="s">
        <v>5872</v>
      </c>
      <c r="AE44" t="s">
        <v>7884</v>
      </c>
      <c r="AF44">
        <v>0</v>
      </c>
      <c r="AH44" t="s">
        <v>4280</v>
      </c>
      <c r="AI44">
        <v>3</v>
      </c>
      <c r="AJ44">
        <v>1</v>
      </c>
      <c r="AK44">
        <v>0</v>
      </c>
      <c r="AL44">
        <v>18.73</v>
      </c>
      <c r="AO44" t="s">
        <v>9298</v>
      </c>
      <c r="AP44">
        <v>2340</v>
      </c>
      <c r="AV44">
        <v>20.3</v>
      </c>
      <c r="AW44" t="s">
        <v>54</v>
      </c>
    </row>
    <row r="45" spans="1:49">
      <c r="A45" s="1">
        <f>HYPERLINK("https://cms.ls-nyc.org/matter/dynamic-profile/view/1880753","18-1880753")</f>
        <v>0</v>
      </c>
      <c r="B45" t="s">
        <v>50</v>
      </c>
      <c r="C45" t="s">
        <v>82</v>
      </c>
      <c r="D45" t="s">
        <v>84</v>
      </c>
      <c r="E45" t="s">
        <v>130</v>
      </c>
      <c r="F45" t="s">
        <v>355</v>
      </c>
      <c r="G45" t="s">
        <v>1414</v>
      </c>
      <c r="H45" t="s">
        <v>2533</v>
      </c>
      <c r="J45" t="s">
        <v>4242</v>
      </c>
      <c r="K45">
        <v>11364</v>
      </c>
      <c r="L45" t="s">
        <v>4275</v>
      </c>
      <c r="M45" t="s">
        <v>4275</v>
      </c>
      <c r="O45" t="s">
        <v>4282</v>
      </c>
      <c r="P45" t="s">
        <v>4328</v>
      </c>
      <c r="Q45" t="s">
        <v>5731</v>
      </c>
      <c r="R45" t="s">
        <v>5753</v>
      </c>
      <c r="S45" t="s">
        <v>5759</v>
      </c>
      <c r="T45" t="s">
        <v>4276</v>
      </c>
      <c r="V45" t="s">
        <v>5767</v>
      </c>
      <c r="W45" t="s">
        <v>5771</v>
      </c>
      <c r="X45" t="s">
        <v>84</v>
      </c>
      <c r="Y45">
        <v>1750</v>
      </c>
      <c r="Z45" t="s">
        <v>5803</v>
      </c>
      <c r="AA45" t="s">
        <v>5804</v>
      </c>
      <c r="AB45" t="s">
        <v>5821</v>
      </c>
      <c r="AC45" t="s">
        <v>5873</v>
      </c>
      <c r="AD45" t="s">
        <v>7297</v>
      </c>
      <c r="AE45" t="s">
        <v>7885</v>
      </c>
      <c r="AF45">
        <v>224</v>
      </c>
      <c r="AH45" t="s">
        <v>4280</v>
      </c>
      <c r="AI45">
        <v>3</v>
      </c>
      <c r="AJ45">
        <v>1</v>
      </c>
      <c r="AK45">
        <v>3</v>
      </c>
      <c r="AL45">
        <v>20.92</v>
      </c>
      <c r="AO45" t="s">
        <v>1425</v>
      </c>
      <c r="AP45">
        <v>5252</v>
      </c>
      <c r="AV45">
        <v>1.5</v>
      </c>
      <c r="AW45" t="s">
        <v>50</v>
      </c>
    </row>
    <row r="46" spans="1:49">
      <c r="A46" s="1">
        <f>HYPERLINK("https://cms.ls-nyc.org/matter/dynamic-profile/view/1875043","18-1875043")</f>
        <v>0</v>
      </c>
      <c r="B46" t="s">
        <v>50</v>
      </c>
      <c r="C46" t="s">
        <v>82</v>
      </c>
      <c r="D46" t="s">
        <v>118</v>
      </c>
      <c r="E46" t="s">
        <v>196</v>
      </c>
      <c r="F46" t="s">
        <v>356</v>
      </c>
      <c r="G46" t="s">
        <v>1415</v>
      </c>
      <c r="H46" t="s">
        <v>2534</v>
      </c>
      <c r="J46" t="s">
        <v>4243</v>
      </c>
      <c r="K46">
        <v>11691</v>
      </c>
      <c r="L46" t="s">
        <v>4275</v>
      </c>
      <c r="M46" t="s">
        <v>4275</v>
      </c>
      <c r="O46" t="s">
        <v>4283</v>
      </c>
      <c r="P46" t="s">
        <v>4329</v>
      </c>
      <c r="Q46" t="s">
        <v>5731</v>
      </c>
      <c r="R46" t="s">
        <v>5753</v>
      </c>
      <c r="S46" t="s">
        <v>5759</v>
      </c>
      <c r="T46" t="s">
        <v>4276</v>
      </c>
      <c r="V46" t="s">
        <v>5767</v>
      </c>
      <c r="W46" t="s">
        <v>5772</v>
      </c>
      <c r="X46" t="s">
        <v>118</v>
      </c>
      <c r="Y46">
        <v>1515</v>
      </c>
      <c r="Z46" t="s">
        <v>5803</v>
      </c>
      <c r="AA46" t="s">
        <v>5804</v>
      </c>
      <c r="AB46" t="s">
        <v>5821</v>
      </c>
      <c r="AC46" t="s">
        <v>5874</v>
      </c>
      <c r="AD46" t="s">
        <v>7298</v>
      </c>
      <c r="AE46" t="s">
        <v>7886</v>
      </c>
      <c r="AF46">
        <v>2</v>
      </c>
      <c r="AG46" t="s">
        <v>9269</v>
      </c>
      <c r="AH46" t="s">
        <v>4280</v>
      </c>
      <c r="AI46">
        <v>7</v>
      </c>
      <c r="AJ46">
        <v>1</v>
      </c>
      <c r="AK46">
        <v>2</v>
      </c>
      <c r="AL46">
        <v>21.08</v>
      </c>
      <c r="AO46" t="s">
        <v>1425</v>
      </c>
      <c r="AP46">
        <v>4380</v>
      </c>
      <c r="AV46">
        <v>1.4</v>
      </c>
      <c r="AW46" t="s">
        <v>73</v>
      </c>
    </row>
    <row r="47" spans="1:49">
      <c r="A47" s="1">
        <f>HYPERLINK("https://cms.ls-nyc.org/matter/dynamic-profile/view/1899384","19-1899384")</f>
        <v>0</v>
      </c>
      <c r="B47" t="s">
        <v>50</v>
      </c>
      <c r="C47" t="s">
        <v>83</v>
      </c>
      <c r="D47" t="s">
        <v>104</v>
      </c>
      <c r="F47" t="s">
        <v>357</v>
      </c>
      <c r="G47" t="s">
        <v>1416</v>
      </c>
      <c r="H47" t="s">
        <v>2535</v>
      </c>
      <c r="J47" t="s">
        <v>4244</v>
      </c>
      <c r="K47">
        <v>11413</v>
      </c>
      <c r="L47" t="s">
        <v>4275</v>
      </c>
      <c r="M47" t="s">
        <v>4277</v>
      </c>
      <c r="N47" t="s">
        <v>4278</v>
      </c>
      <c r="O47" t="s">
        <v>4283</v>
      </c>
      <c r="P47" t="s">
        <v>4330</v>
      </c>
      <c r="Q47" t="s">
        <v>5731</v>
      </c>
      <c r="R47" t="s">
        <v>5751</v>
      </c>
      <c r="T47" t="s">
        <v>4276</v>
      </c>
      <c r="V47" t="s">
        <v>5767</v>
      </c>
      <c r="X47" t="s">
        <v>104</v>
      </c>
      <c r="Y47">
        <v>1250</v>
      </c>
      <c r="Z47" t="s">
        <v>5803</v>
      </c>
      <c r="AA47" t="s">
        <v>5804</v>
      </c>
      <c r="AC47" t="s">
        <v>5875</v>
      </c>
      <c r="AD47" t="s">
        <v>7299</v>
      </c>
      <c r="AE47" t="s">
        <v>7887</v>
      </c>
      <c r="AF47">
        <v>0</v>
      </c>
      <c r="AI47">
        <v>1</v>
      </c>
      <c r="AJ47">
        <v>1</v>
      </c>
      <c r="AK47">
        <v>1</v>
      </c>
      <c r="AL47">
        <v>21.68</v>
      </c>
      <c r="AO47" t="s">
        <v>1425</v>
      </c>
      <c r="AP47">
        <v>3666</v>
      </c>
      <c r="AV47">
        <v>9.300000000000001</v>
      </c>
      <c r="AW47" t="s">
        <v>9547</v>
      </c>
    </row>
    <row r="48" spans="1:49">
      <c r="A48" s="1">
        <f>HYPERLINK("https://cms.ls-nyc.org/matter/dynamic-profile/view/1889321","19-1889321")</f>
        <v>0</v>
      </c>
      <c r="B48" t="s">
        <v>50</v>
      </c>
      <c r="C48" t="s">
        <v>82</v>
      </c>
      <c r="D48" t="s">
        <v>119</v>
      </c>
      <c r="E48" t="s">
        <v>168</v>
      </c>
      <c r="F48" t="s">
        <v>358</v>
      </c>
      <c r="G48" t="s">
        <v>1417</v>
      </c>
      <c r="H48" t="s">
        <v>2536</v>
      </c>
      <c r="I48" t="s">
        <v>3863</v>
      </c>
      <c r="J48" t="s">
        <v>4245</v>
      </c>
      <c r="K48">
        <v>11418</v>
      </c>
      <c r="L48" t="s">
        <v>4275</v>
      </c>
      <c r="M48" t="s">
        <v>4275</v>
      </c>
      <c r="N48" t="s">
        <v>4278</v>
      </c>
      <c r="O48" t="s">
        <v>4282</v>
      </c>
      <c r="P48" t="s">
        <v>4331</v>
      </c>
      <c r="Q48" t="s">
        <v>5731</v>
      </c>
      <c r="R48" t="s">
        <v>5751</v>
      </c>
      <c r="S48" t="s">
        <v>5758</v>
      </c>
      <c r="T48" t="s">
        <v>4276</v>
      </c>
      <c r="V48" t="s">
        <v>5767</v>
      </c>
      <c r="W48" t="s">
        <v>5772</v>
      </c>
      <c r="X48" t="s">
        <v>119</v>
      </c>
      <c r="Y48">
        <v>932.28</v>
      </c>
      <c r="Z48" t="s">
        <v>5803</v>
      </c>
      <c r="AA48" t="s">
        <v>5804</v>
      </c>
      <c r="AB48" t="s">
        <v>5820</v>
      </c>
      <c r="AC48" t="s">
        <v>5876</v>
      </c>
      <c r="AD48" t="s">
        <v>7300</v>
      </c>
      <c r="AE48" t="s">
        <v>7888</v>
      </c>
      <c r="AF48">
        <v>6</v>
      </c>
      <c r="AG48" t="s">
        <v>9272</v>
      </c>
      <c r="AH48" t="s">
        <v>9283</v>
      </c>
      <c r="AI48">
        <v>4</v>
      </c>
      <c r="AJ48">
        <v>1</v>
      </c>
      <c r="AK48">
        <v>2</v>
      </c>
      <c r="AL48">
        <v>22.5</v>
      </c>
      <c r="AO48" t="s">
        <v>1425</v>
      </c>
      <c r="AP48">
        <v>4800</v>
      </c>
      <c r="AR48" t="s">
        <v>9326</v>
      </c>
      <c r="AS48" t="s">
        <v>5806</v>
      </c>
      <c r="AT48" t="s">
        <v>9369</v>
      </c>
      <c r="AU48" t="s">
        <v>9391</v>
      </c>
      <c r="AV48">
        <v>12.15</v>
      </c>
      <c r="AW48" t="s">
        <v>54</v>
      </c>
    </row>
    <row r="49" spans="1:49">
      <c r="A49" s="1">
        <f>HYPERLINK("https://cms.ls-nyc.org/matter/dynamic-profile/view/1876884","18-1876884")</f>
        <v>0</v>
      </c>
      <c r="B49" t="s">
        <v>50</v>
      </c>
      <c r="C49" t="s">
        <v>82</v>
      </c>
      <c r="D49" t="s">
        <v>120</v>
      </c>
      <c r="E49" t="s">
        <v>242</v>
      </c>
      <c r="F49" t="s">
        <v>359</v>
      </c>
      <c r="G49" t="s">
        <v>1418</v>
      </c>
      <c r="H49" t="s">
        <v>2537</v>
      </c>
      <c r="I49" t="s">
        <v>3864</v>
      </c>
      <c r="J49" t="s">
        <v>4236</v>
      </c>
      <c r="K49">
        <v>11416</v>
      </c>
      <c r="L49" t="s">
        <v>4275</v>
      </c>
      <c r="M49" t="s">
        <v>4275</v>
      </c>
      <c r="O49" t="s">
        <v>4282</v>
      </c>
      <c r="P49" t="s">
        <v>4332</v>
      </c>
      <c r="Q49" t="s">
        <v>5732</v>
      </c>
      <c r="R49" t="s">
        <v>5753</v>
      </c>
      <c r="S49" t="s">
        <v>5759</v>
      </c>
      <c r="T49" t="s">
        <v>4276</v>
      </c>
      <c r="V49" t="s">
        <v>5767</v>
      </c>
      <c r="W49" t="s">
        <v>5771</v>
      </c>
      <c r="X49" t="s">
        <v>120</v>
      </c>
      <c r="Y49">
        <v>2000</v>
      </c>
      <c r="Z49" t="s">
        <v>5803</v>
      </c>
      <c r="AA49" t="s">
        <v>5804</v>
      </c>
      <c r="AB49" t="s">
        <v>5822</v>
      </c>
      <c r="AC49" t="s">
        <v>5877</v>
      </c>
      <c r="AD49" t="s">
        <v>7301</v>
      </c>
      <c r="AE49" t="s">
        <v>7889</v>
      </c>
      <c r="AF49">
        <v>2</v>
      </c>
      <c r="AG49" t="s">
        <v>9269</v>
      </c>
      <c r="AH49" t="s">
        <v>4280</v>
      </c>
      <c r="AI49">
        <v>1</v>
      </c>
      <c r="AJ49">
        <v>3</v>
      </c>
      <c r="AK49">
        <v>4</v>
      </c>
      <c r="AL49">
        <v>24.44</v>
      </c>
      <c r="AO49" t="s">
        <v>1425</v>
      </c>
      <c r="AP49">
        <v>9300</v>
      </c>
      <c r="AV49">
        <v>0.85</v>
      </c>
      <c r="AW49" t="s">
        <v>73</v>
      </c>
    </row>
    <row r="50" spans="1:49">
      <c r="A50" s="1">
        <f>HYPERLINK("https://cms.ls-nyc.org/matter/dynamic-profile/view/1876895","18-1876895")</f>
        <v>0</v>
      </c>
      <c r="B50" t="s">
        <v>50</v>
      </c>
      <c r="C50" t="s">
        <v>82</v>
      </c>
      <c r="D50" t="s">
        <v>120</v>
      </c>
      <c r="E50" t="s">
        <v>196</v>
      </c>
      <c r="F50" t="s">
        <v>360</v>
      </c>
      <c r="G50" t="s">
        <v>1419</v>
      </c>
      <c r="H50" t="s">
        <v>2538</v>
      </c>
      <c r="J50" t="s">
        <v>4245</v>
      </c>
      <c r="K50">
        <v>11418</v>
      </c>
      <c r="L50" t="s">
        <v>4275</v>
      </c>
      <c r="M50" t="s">
        <v>4275</v>
      </c>
      <c r="O50" t="s">
        <v>4282</v>
      </c>
      <c r="P50" t="s">
        <v>4333</v>
      </c>
      <c r="Q50" t="s">
        <v>5732</v>
      </c>
      <c r="R50" t="s">
        <v>5753</v>
      </c>
      <c r="S50" t="s">
        <v>5759</v>
      </c>
      <c r="T50" t="s">
        <v>4276</v>
      </c>
      <c r="V50" t="s">
        <v>5767</v>
      </c>
      <c r="W50" t="s">
        <v>5772</v>
      </c>
      <c r="X50" t="s">
        <v>120</v>
      </c>
      <c r="Y50">
        <v>1500</v>
      </c>
      <c r="Z50" t="s">
        <v>5803</v>
      </c>
      <c r="AA50" t="s">
        <v>5806</v>
      </c>
      <c r="AB50" t="s">
        <v>5821</v>
      </c>
      <c r="AC50" t="s">
        <v>5878</v>
      </c>
      <c r="AE50" t="s">
        <v>7890</v>
      </c>
      <c r="AF50">
        <v>4</v>
      </c>
      <c r="AG50" t="s">
        <v>9269</v>
      </c>
      <c r="AH50" t="s">
        <v>9285</v>
      </c>
      <c r="AI50">
        <v>4</v>
      </c>
      <c r="AJ50">
        <v>4</v>
      </c>
      <c r="AK50">
        <v>0</v>
      </c>
      <c r="AL50">
        <v>28.8</v>
      </c>
      <c r="AO50" t="s">
        <v>1425</v>
      </c>
      <c r="AP50">
        <v>7228</v>
      </c>
      <c r="AV50">
        <v>0.8</v>
      </c>
      <c r="AW50" t="s">
        <v>50</v>
      </c>
    </row>
    <row r="51" spans="1:49">
      <c r="A51" s="1">
        <f>HYPERLINK("https://cms.ls-nyc.org/matter/dynamic-profile/view/1873763","18-1873763")</f>
        <v>0</v>
      </c>
      <c r="B51" t="s">
        <v>50</v>
      </c>
      <c r="C51" t="s">
        <v>83</v>
      </c>
      <c r="D51" t="s">
        <v>112</v>
      </c>
      <c r="F51" t="s">
        <v>361</v>
      </c>
      <c r="G51" t="s">
        <v>1420</v>
      </c>
      <c r="H51" t="s">
        <v>2539</v>
      </c>
      <c r="J51" t="s">
        <v>4222</v>
      </c>
      <c r="K51">
        <v>11433</v>
      </c>
      <c r="L51" t="s">
        <v>4275</v>
      </c>
      <c r="M51" t="s">
        <v>4275</v>
      </c>
      <c r="O51" t="s">
        <v>4281</v>
      </c>
      <c r="P51" t="s">
        <v>4334</v>
      </c>
      <c r="Q51" t="s">
        <v>5732</v>
      </c>
      <c r="R51" t="s">
        <v>5751</v>
      </c>
      <c r="T51" t="s">
        <v>4276</v>
      </c>
      <c r="U51" t="s">
        <v>4281</v>
      </c>
      <c r="V51" t="s">
        <v>5767</v>
      </c>
      <c r="W51" t="s">
        <v>5772</v>
      </c>
      <c r="X51" t="s">
        <v>112</v>
      </c>
      <c r="Y51">
        <v>1250</v>
      </c>
      <c r="Z51" t="s">
        <v>5803</v>
      </c>
      <c r="AA51" t="s">
        <v>5804</v>
      </c>
      <c r="AC51" t="s">
        <v>5879</v>
      </c>
      <c r="AD51" t="s">
        <v>7302</v>
      </c>
      <c r="AE51" t="s">
        <v>7891</v>
      </c>
      <c r="AF51">
        <v>1</v>
      </c>
      <c r="AG51" t="s">
        <v>9269</v>
      </c>
      <c r="AH51" t="s">
        <v>9285</v>
      </c>
      <c r="AI51">
        <v>5</v>
      </c>
      <c r="AJ51">
        <v>1</v>
      </c>
      <c r="AK51">
        <v>1</v>
      </c>
      <c r="AL51">
        <v>37.28</v>
      </c>
      <c r="AN51" t="s">
        <v>9294</v>
      </c>
      <c r="AO51" t="s">
        <v>1425</v>
      </c>
      <c r="AP51">
        <v>6136</v>
      </c>
      <c r="AV51">
        <v>7.35</v>
      </c>
      <c r="AW51" t="s">
        <v>54</v>
      </c>
    </row>
    <row r="52" spans="1:49">
      <c r="A52" s="1">
        <f>HYPERLINK("https://cms.ls-nyc.org/matter/dynamic-profile/view/1894402","19-1894402")</f>
        <v>0</v>
      </c>
      <c r="B52" t="s">
        <v>50</v>
      </c>
      <c r="C52" t="s">
        <v>83</v>
      </c>
      <c r="D52" t="s">
        <v>121</v>
      </c>
      <c r="F52" t="s">
        <v>362</v>
      </c>
      <c r="G52" t="s">
        <v>1421</v>
      </c>
      <c r="H52" t="s">
        <v>2540</v>
      </c>
      <c r="I52">
        <v>2</v>
      </c>
      <c r="J52" t="s">
        <v>4222</v>
      </c>
      <c r="K52">
        <v>11433</v>
      </c>
      <c r="L52" t="s">
        <v>4275</v>
      </c>
      <c r="M52" t="s">
        <v>4275</v>
      </c>
      <c r="O52" t="s">
        <v>4281</v>
      </c>
      <c r="P52" t="s">
        <v>4335</v>
      </c>
      <c r="Q52" t="s">
        <v>5731</v>
      </c>
      <c r="R52" t="s">
        <v>5751</v>
      </c>
      <c r="T52" t="s">
        <v>4276</v>
      </c>
      <c r="V52" t="s">
        <v>5767</v>
      </c>
      <c r="W52" t="s">
        <v>5772</v>
      </c>
      <c r="X52" t="s">
        <v>121</v>
      </c>
      <c r="Y52">
        <v>2000</v>
      </c>
      <c r="Z52" t="s">
        <v>5803</v>
      </c>
      <c r="AA52" t="s">
        <v>5805</v>
      </c>
      <c r="AC52" t="s">
        <v>5880</v>
      </c>
      <c r="AE52" t="s">
        <v>7892</v>
      </c>
      <c r="AF52">
        <v>0</v>
      </c>
      <c r="AG52" t="s">
        <v>9269</v>
      </c>
      <c r="AH52" t="s">
        <v>4280</v>
      </c>
      <c r="AI52">
        <v>6</v>
      </c>
      <c r="AJ52">
        <v>1</v>
      </c>
      <c r="AK52">
        <v>3</v>
      </c>
      <c r="AL52">
        <v>37.28</v>
      </c>
      <c r="AO52" t="s">
        <v>1425</v>
      </c>
      <c r="AP52">
        <v>9600</v>
      </c>
      <c r="AV52">
        <v>21.7</v>
      </c>
      <c r="AW52" t="s">
        <v>54</v>
      </c>
    </row>
    <row r="53" spans="1:49">
      <c r="A53" s="1">
        <f>HYPERLINK("https://cms.ls-nyc.org/matter/dynamic-profile/view/1875545","18-1875545")</f>
        <v>0</v>
      </c>
      <c r="B53" t="s">
        <v>50</v>
      </c>
      <c r="C53" t="s">
        <v>82</v>
      </c>
      <c r="D53" t="s">
        <v>122</v>
      </c>
      <c r="E53" t="s">
        <v>95</v>
      </c>
      <c r="F53" t="s">
        <v>363</v>
      </c>
      <c r="G53" t="s">
        <v>1422</v>
      </c>
      <c r="H53" t="s">
        <v>2541</v>
      </c>
      <c r="I53" t="s">
        <v>3865</v>
      </c>
      <c r="J53" t="s">
        <v>4246</v>
      </c>
      <c r="K53">
        <v>11694</v>
      </c>
      <c r="L53" t="s">
        <v>4275</v>
      </c>
      <c r="M53" t="s">
        <v>4275</v>
      </c>
      <c r="N53" t="s">
        <v>4278</v>
      </c>
      <c r="O53" t="s">
        <v>4282</v>
      </c>
      <c r="P53" t="s">
        <v>4336</v>
      </c>
      <c r="Q53" t="s">
        <v>5731</v>
      </c>
      <c r="R53" t="s">
        <v>5751</v>
      </c>
      <c r="S53" t="s">
        <v>5758</v>
      </c>
      <c r="T53" t="s">
        <v>4276</v>
      </c>
      <c r="V53" t="s">
        <v>5767</v>
      </c>
      <c r="W53" t="s">
        <v>5772</v>
      </c>
      <c r="X53" t="s">
        <v>122</v>
      </c>
      <c r="Y53">
        <v>1515</v>
      </c>
      <c r="Z53" t="s">
        <v>5803</v>
      </c>
      <c r="AA53" t="s">
        <v>5804</v>
      </c>
      <c r="AB53" t="s">
        <v>5820</v>
      </c>
      <c r="AC53" t="s">
        <v>5881</v>
      </c>
      <c r="AD53" t="s">
        <v>7303</v>
      </c>
      <c r="AE53" t="s">
        <v>7893</v>
      </c>
      <c r="AF53">
        <v>2</v>
      </c>
      <c r="AG53" t="s">
        <v>9269</v>
      </c>
      <c r="AH53" t="s">
        <v>9284</v>
      </c>
      <c r="AI53">
        <v>4</v>
      </c>
      <c r="AJ53">
        <v>4</v>
      </c>
      <c r="AK53">
        <v>0</v>
      </c>
      <c r="AL53">
        <v>38.25</v>
      </c>
      <c r="AO53" t="s">
        <v>1425</v>
      </c>
      <c r="AP53">
        <v>9600</v>
      </c>
      <c r="AR53" t="s">
        <v>9326</v>
      </c>
      <c r="AS53" t="s">
        <v>5806</v>
      </c>
      <c r="AT53" t="s">
        <v>9369</v>
      </c>
      <c r="AU53" t="s">
        <v>9392</v>
      </c>
      <c r="AV53">
        <v>25.05</v>
      </c>
      <c r="AW53" t="s">
        <v>73</v>
      </c>
    </row>
    <row r="54" spans="1:49">
      <c r="A54" s="1">
        <f>HYPERLINK("https://cms.ls-nyc.org/matter/dynamic-profile/view/1897950","19-1897950")</f>
        <v>0</v>
      </c>
      <c r="B54" t="s">
        <v>50</v>
      </c>
      <c r="C54" t="s">
        <v>83</v>
      </c>
      <c r="D54" t="s">
        <v>123</v>
      </c>
      <c r="F54" t="s">
        <v>364</v>
      </c>
      <c r="G54" t="s">
        <v>1423</v>
      </c>
      <c r="H54" t="s">
        <v>2542</v>
      </c>
      <c r="J54" t="s">
        <v>4245</v>
      </c>
      <c r="K54">
        <v>11418</v>
      </c>
      <c r="L54" t="s">
        <v>4275</v>
      </c>
      <c r="M54" t="s">
        <v>4275</v>
      </c>
      <c r="O54" t="s">
        <v>4282</v>
      </c>
      <c r="P54" t="s">
        <v>4337</v>
      </c>
      <c r="Q54" t="s">
        <v>5732</v>
      </c>
      <c r="R54" t="s">
        <v>5752</v>
      </c>
      <c r="T54" t="s">
        <v>4276</v>
      </c>
      <c r="V54" t="s">
        <v>5767</v>
      </c>
      <c r="W54" t="s">
        <v>5772</v>
      </c>
      <c r="X54" t="s">
        <v>123</v>
      </c>
      <c r="Y54">
        <v>650</v>
      </c>
      <c r="Z54" t="s">
        <v>5803</v>
      </c>
      <c r="AA54" t="s">
        <v>5806</v>
      </c>
      <c r="AC54" t="s">
        <v>5882</v>
      </c>
      <c r="AE54" t="s">
        <v>7894</v>
      </c>
      <c r="AF54">
        <v>5</v>
      </c>
      <c r="AG54" t="s">
        <v>9270</v>
      </c>
      <c r="AH54" t="s">
        <v>4280</v>
      </c>
      <c r="AI54">
        <v>2</v>
      </c>
      <c r="AJ54">
        <v>2</v>
      </c>
      <c r="AK54">
        <v>1</v>
      </c>
      <c r="AL54">
        <v>39.83</v>
      </c>
      <c r="AO54" t="s">
        <v>1425</v>
      </c>
      <c r="AP54">
        <v>8496</v>
      </c>
      <c r="AV54">
        <v>1</v>
      </c>
      <c r="AW54" t="s">
        <v>50</v>
      </c>
    </row>
    <row r="55" spans="1:49">
      <c r="A55" s="1">
        <f>HYPERLINK("https://cms.ls-nyc.org/matter/dynamic-profile/view/1899459","19-1899459")</f>
        <v>0</v>
      </c>
      <c r="B55" t="s">
        <v>50</v>
      </c>
      <c r="C55" t="s">
        <v>83</v>
      </c>
      <c r="D55" t="s">
        <v>124</v>
      </c>
      <c r="F55" t="s">
        <v>365</v>
      </c>
      <c r="G55" t="s">
        <v>1424</v>
      </c>
      <c r="H55" t="s">
        <v>2543</v>
      </c>
      <c r="I55" t="s">
        <v>3866</v>
      </c>
      <c r="J55" t="s">
        <v>4222</v>
      </c>
      <c r="K55">
        <v>11433</v>
      </c>
      <c r="L55" t="s">
        <v>4275</v>
      </c>
      <c r="M55" t="s">
        <v>4277</v>
      </c>
      <c r="N55" t="s">
        <v>4278</v>
      </c>
      <c r="O55" t="s">
        <v>4281</v>
      </c>
      <c r="P55" t="s">
        <v>4338</v>
      </c>
      <c r="Q55" t="s">
        <v>5732</v>
      </c>
      <c r="R55" t="s">
        <v>5753</v>
      </c>
      <c r="T55" t="s">
        <v>4276</v>
      </c>
      <c r="V55" t="s">
        <v>5767</v>
      </c>
      <c r="W55" t="s">
        <v>5772</v>
      </c>
      <c r="X55" t="s">
        <v>124</v>
      </c>
      <c r="Y55">
        <v>800</v>
      </c>
      <c r="Z55" t="s">
        <v>5803</v>
      </c>
      <c r="AA55" t="s">
        <v>5805</v>
      </c>
      <c r="AC55" t="s">
        <v>5883</v>
      </c>
      <c r="AD55" t="s">
        <v>4700</v>
      </c>
      <c r="AE55" t="s">
        <v>7895</v>
      </c>
      <c r="AF55">
        <v>2</v>
      </c>
      <c r="AG55" t="s">
        <v>9269</v>
      </c>
      <c r="AH55" t="s">
        <v>5806</v>
      </c>
      <c r="AI55">
        <v>2</v>
      </c>
      <c r="AJ55">
        <v>1</v>
      </c>
      <c r="AK55">
        <v>0</v>
      </c>
      <c r="AL55">
        <v>41.12</v>
      </c>
      <c r="AO55" t="s">
        <v>1425</v>
      </c>
      <c r="AP55">
        <v>5136</v>
      </c>
      <c r="AR55" t="s">
        <v>9327</v>
      </c>
      <c r="AS55" t="s">
        <v>9342</v>
      </c>
      <c r="AT55" t="s">
        <v>9370</v>
      </c>
      <c r="AU55" t="s">
        <v>9393</v>
      </c>
      <c r="AV55">
        <v>6.55</v>
      </c>
      <c r="AW55" t="s">
        <v>54</v>
      </c>
    </row>
    <row r="56" spans="1:49">
      <c r="A56" s="1">
        <f>HYPERLINK("https://cms.ls-nyc.org/matter/dynamic-profile/view/1874987","18-1874987")</f>
        <v>0</v>
      </c>
      <c r="B56" t="s">
        <v>50</v>
      </c>
      <c r="C56" t="s">
        <v>82</v>
      </c>
      <c r="D56" t="s">
        <v>118</v>
      </c>
      <c r="E56" t="s">
        <v>218</v>
      </c>
      <c r="F56" t="s">
        <v>366</v>
      </c>
      <c r="G56" t="s">
        <v>1385</v>
      </c>
      <c r="H56" t="s">
        <v>2544</v>
      </c>
      <c r="I56" t="s">
        <v>3867</v>
      </c>
      <c r="J56" t="s">
        <v>4222</v>
      </c>
      <c r="K56">
        <v>11434</v>
      </c>
      <c r="L56" t="s">
        <v>4275</v>
      </c>
      <c r="M56" t="s">
        <v>4275</v>
      </c>
      <c r="O56" t="s">
        <v>4281</v>
      </c>
      <c r="P56" t="s">
        <v>4339</v>
      </c>
      <c r="Q56" t="s">
        <v>5731</v>
      </c>
      <c r="R56" t="s">
        <v>5751</v>
      </c>
      <c r="S56" t="s">
        <v>5758</v>
      </c>
      <c r="T56" t="s">
        <v>4276</v>
      </c>
      <c r="V56" t="s">
        <v>5767</v>
      </c>
      <c r="W56" t="s">
        <v>5772</v>
      </c>
      <c r="X56" t="s">
        <v>118</v>
      </c>
      <c r="Y56">
        <v>1600</v>
      </c>
      <c r="Z56" t="s">
        <v>5803</v>
      </c>
      <c r="AA56" t="s">
        <v>5804</v>
      </c>
      <c r="AB56" t="s">
        <v>5820</v>
      </c>
      <c r="AC56" t="s">
        <v>5884</v>
      </c>
      <c r="AD56" t="s">
        <v>7304</v>
      </c>
      <c r="AE56" t="s">
        <v>7896</v>
      </c>
      <c r="AF56">
        <v>2</v>
      </c>
      <c r="AG56" t="s">
        <v>9269</v>
      </c>
      <c r="AH56" t="s">
        <v>9283</v>
      </c>
      <c r="AI56">
        <v>9</v>
      </c>
      <c r="AJ56">
        <v>2</v>
      </c>
      <c r="AK56">
        <v>4</v>
      </c>
      <c r="AL56">
        <v>46.18</v>
      </c>
      <c r="AO56" t="s">
        <v>9298</v>
      </c>
      <c r="AP56">
        <v>15580</v>
      </c>
      <c r="AR56" t="s">
        <v>9326</v>
      </c>
      <c r="AS56" t="s">
        <v>5806</v>
      </c>
      <c r="AT56" t="s">
        <v>9369</v>
      </c>
      <c r="AU56" t="s">
        <v>9388</v>
      </c>
      <c r="AV56">
        <v>21.9</v>
      </c>
      <c r="AW56" t="s">
        <v>54</v>
      </c>
    </row>
    <row r="57" spans="1:49">
      <c r="A57" s="1">
        <f>HYPERLINK("https://cms.ls-nyc.org/matter/dynamic-profile/view/1888631","19-1888631")</f>
        <v>0</v>
      </c>
      <c r="B57" t="s">
        <v>50</v>
      </c>
      <c r="C57" t="s">
        <v>83</v>
      </c>
      <c r="D57" t="s">
        <v>125</v>
      </c>
      <c r="F57" t="s">
        <v>367</v>
      </c>
      <c r="G57" t="s">
        <v>1425</v>
      </c>
      <c r="H57" t="s">
        <v>2545</v>
      </c>
      <c r="I57">
        <v>2</v>
      </c>
      <c r="J57" t="s">
        <v>4222</v>
      </c>
      <c r="K57">
        <v>11434</v>
      </c>
      <c r="L57" t="s">
        <v>4275</v>
      </c>
      <c r="M57" t="s">
        <v>4275</v>
      </c>
      <c r="N57" t="s">
        <v>4278</v>
      </c>
      <c r="O57" t="s">
        <v>4281</v>
      </c>
      <c r="P57" t="s">
        <v>4340</v>
      </c>
      <c r="Q57" t="s">
        <v>5732</v>
      </c>
      <c r="R57" t="s">
        <v>5751</v>
      </c>
      <c r="T57" t="s">
        <v>4276</v>
      </c>
      <c r="V57" t="s">
        <v>5768</v>
      </c>
      <c r="W57" t="s">
        <v>5774</v>
      </c>
      <c r="X57" t="s">
        <v>125</v>
      </c>
      <c r="Y57">
        <v>2850</v>
      </c>
      <c r="Z57" t="s">
        <v>5803</v>
      </c>
      <c r="AA57" t="s">
        <v>5805</v>
      </c>
      <c r="AC57" t="s">
        <v>5885</v>
      </c>
      <c r="AD57" t="s">
        <v>7305</v>
      </c>
      <c r="AE57" t="s">
        <v>7897</v>
      </c>
      <c r="AF57">
        <v>2</v>
      </c>
      <c r="AG57" t="s">
        <v>9271</v>
      </c>
      <c r="AH57" t="s">
        <v>9282</v>
      </c>
      <c r="AI57">
        <v>2</v>
      </c>
      <c r="AJ57">
        <v>1</v>
      </c>
      <c r="AK57">
        <v>4</v>
      </c>
      <c r="AL57">
        <v>50.06</v>
      </c>
      <c r="AO57" t="s">
        <v>1425</v>
      </c>
      <c r="AP57">
        <v>15102</v>
      </c>
      <c r="AR57" t="s">
        <v>9326</v>
      </c>
      <c r="AS57" t="s">
        <v>5806</v>
      </c>
      <c r="AT57" t="s">
        <v>9370</v>
      </c>
      <c r="AU57" t="s">
        <v>9394</v>
      </c>
      <c r="AV57">
        <v>3</v>
      </c>
      <c r="AW57" t="s">
        <v>54</v>
      </c>
    </row>
    <row r="58" spans="1:49">
      <c r="A58" s="1">
        <f>HYPERLINK("https://cms.ls-nyc.org/matter/dynamic-profile/view/1878045","18-1878045")</f>
        <v>0</v>
      </c>
      <c r="B58" t="s">
        <v>50</v>
      </c>
      <c r="C58" t="s">
        <v>82</v>
      </c>
      <c r="D58" t="s">
        <v>126</v>
      </c>
      <c r="E58" t="s">
        <v>196</v>
      </c>
      <c r="F58" t="s">
        <v>368</v>
      </c>
      <c r="G58" t="s">
        <v>1426</v>
      </c>
      <c r="H58" t="s">
        <v>2546</v>
      </c>
      <c r="I58" t="s">
        <v>3868</v>
      </c>
      <c r="J58" t="s">
        <v>4222</v>
      </c>
      <c r="K58">
        <v>11432</v>
      </c>
      <c r="L58" t="s">
        <v>4275</v>
      </c>
      <c r="M58" t="s">
        <v>4275</v>
      </c>
      <c r="O58" t="s">
        <v>4282</v>
      </c>
      <c r="P58" t="s">
        <v>4341</v>
      </c>
      <c r="Q58" t="s">
        <v>5731</v>
      </c>
      <c r="R58" t="s">
        <v>5753</v>
      </c>
      <c r="S58" t="s">
        <v>5759</v>
      </c>
      <c r="T58" t="s">
        <v>4276</v>
      </c>
      <c r="V58" t="s">
        <v>5767</v>
      </c>
      <c r="W58" t="s">
        <v>5775</v>
      </c>
      <c r="X58" t="s">
        <v>126</v>
      </c>
      <c r="Y58">
        <v>1900</v>
      </c>
      <c r="Z58" t="s">
        <v>5803</v>
      </c>
      <c r="AA58" t="s">
        <v>5804</v>
      </c>
      <c r="AB58" t="s">
        <v>5821</v>
      </c>
      <c r="AC58" t="s">
        <v>5886</v>
      </c>
      <c r="AD58" t="s">
        <v>7306</v>
      </c>
      <c r="AE58" t="s">
        <v>7898</v>
      </c>
      <c r="AF58">
        <v>66</v>
      </c>
      <c r="AG58" t="s">
        <v>9270</v>
      </c>
      <c r="AH58" t="s">
        <v>4280</v>
      </c>
      <c r="AI58">
        <v>4</v>
      </c>
      <c r="AJ58">
        <v>4</v>
      </c>
      <c r="AK58">
        <v>2</v>
      </c>
      <c r="AL58">
        <v>50.39</v>
      </c>
      <c r="AO58" t="s">
        <v>1425</v>
      </c>
      <c r="AP58">
        <v>17000</v>
      </c>
      <c r="AR58" t="s">
        <v>9326</v>
      </c>
      <c r="AT58" t="s">
        <v>9369</v>
      </c>
      <c r="AU58" t="s">
        <v>9395</v>
      </c>
      <c r="AV58">
        <v>0.6</v>
      </c>
      <c r="AW58" t="s">
        <v>54</v>
      </c>
    </row>
    <row r="59" spans="1:49">
      <c r="A59" s="1">
        <f>HYPERLINK("https://cms.ls-nyc.org/matter/dynamic-profile/view/1890281","19-1890281")</f>
        <v>0</v>
      </c>
      <c r="B59" t="s">
        <v>50</v>
      </c>
      <c r="C59" t="s">
        <v>82</v>
      </c>
      <c r="D59" t="s">
        <v>127</v>
      </c>
      <c r="E59" t="s">
        <v>99</v>
      </c>
      <c r="F59" t="s">
        <v>369</v>
      </c>
      <c r="G59" t="s">
        <v>1427</v>
      </c>
      <c r="H59" t="s">
        <v>2547</v>
      </c>
      <c r="J59" t="s">
        <v>4247</v>
      </c>
      <c r="K59">
        <v>11415</v>
      </c>
      <c r="L59" t="s">
        <v>4275</v>
      </c>
      <c r="M59" t="s">
        <v>4275</v>
      </c>
      <c r="N59" t="s">
        <v>4278</v>
      </c>
      <c r="O59" t="s">
        <v>4282</v>
      </c>
      <c r="P59" t="s">
        <v>4342</v>
      </c>
      <c r="Q59" t="s">
        <v>5734</v>
      </c>
      <c r="R59" t="s">
        <v>5753</v>
      </c>
      <c r="S59" t="s">
        <v>5759</v>
      </c>
      <c r="T59" t="s">
        <v>4276</v>
      </c>
      <c r="V59" t="s">
        <v>5767</v>
      </c>
      <c r="W59" t="s">
        <v>5772</v>
      </c>
      <c r="X59" t="s">
        <v>127</v>
      </c>
      <c r="Y59">
        <v>0</v>
      </c>
      <c r="Z59" t="s">
        <v>5803</v>
      </c>
      <c r="AA59" t="s">
        <v>5804</v>
      </c>
      <c r="AB59" t="s">
        <v>5821</v>
      </c>
      <c r="AC59" t="s">
        <v>5887</v>
      </c>
      <c r="AE59" t="s">
        <v>7899</v>
      </c>
      <c r="AF59">
        <v>2</v>
      </c>
      <c r="AG59" t="s">
        <v>9269</v>
      </c>
      <c r="AH59" t="s">
        <v>4280</v>
      </c>
      <c r="AI59">
        <v>1</v>
      </c>
      <c r="AJ59">
        <v>1</v>
      </c>
      <c r="AK59">
        <v>0</v>
      </c>
      <c r="AL59">
        <v>57.65</v>
      </c>
      <c r="AO59" t="s">
        <v>1425</v>
      </c>
      <c r="AP59">
        <v>7200</v>
      </c>
      <c r="AU59" t="s">
        <v>9396</v>
      </c>
      <c r="AV59">
        <v>1.75</v>
      </c>
      <c r="AW59" t="s">
        <v>74</v>
      </c>
    </row>
    <row r="60" spans="1:49">
      <c r="A60" s="1">
        <f>HYPERLINK("https://cms.ls-nyc.org/matter/dynamic-profile/view/1872007","18-1872007")</f>
        <v>0</v>
      </c>
      <c r="B60" t="s">
        <v>50</v>
      </c>
      <c r="C60" t="s">
        <v>82</v>
      </c>
      <c r="D60" t="s">
        <v>113</v>
      </c>
      <c r="E60" t="s">
        <v>288</v>
      </c>
      <c r="F60" t="s">
        <v>370</v>
      </c>
      <c r="G60" t="s">
        <v>850</v>
      </c>
      <c r="H60" t="s">
        <v>2548</v>
      </c>
      <c r="J60" t="s">
        <v>4239</v>
      </c>
      <c r="K60">
        <v>11420</v>
      </c>
      <c r="L60" t="s">
        <v>4275</v>
      </c>
      <c r="M60" t="s">
        <v>4275</v>
      </c>
      <c r="N60" t="s">
        <v>4278</v>
      </c>
      <c r="O60" t="s">
        <v>4282</v>
      </c>
      <c r="P60" t="s">
        <v>4343</v>
      </c>
      <c r="Q60" t="s">
        <v>5732</v>
      </c>
      <c r="R60" t="s">
        <v>5753</v>
      </c>
      <c r="S60" t="s">
        <v>5759</v>
      </c>
      <c r="T60" t="s">
        <v>4276</v>
      </c>
      <c r="V60" t="s">
        <v>5767</v>
      </c>
      <c r="W60" t="s">
        <v>5772</v>
      </c>
      <c r="X60" t="s">
        <v>113</v>
      </c>
      <c r="Y60">
        <v>2017.18</v>
      </c>
      <c r="Z60" t="s">
        <v>5803</v>
      </c>
      <c r="AA60" t="s">
        <v>5804</v>
      </c>
      <c r="AB60" t="s">
        <v>5821</v>
      </c>
      <c r="AC60" t="s">
        <v>5888</v>
      </c>
      <c r="AD60" t="s">
        <v>7307</v>
      </c>
      <c r="AE60" t="s">
        <v>7900</v>
      </c>
      <c r="AF60">
        <v>2</v>
      </c>
      <c r="AG60" t="s">
        <v>9269</v>
      </c>
      <c r="AH60" t="s">
        <v>9282</v>
      </c>
      <c r="AI60">
        <v>10</v>
      </c>
      <c r="AJ60">
        <v>3</v>
      </c>
      <c r="AK60">
        <v>1</v>
      </c>
      <c r="AL60">
        <v>57.76</v>
      </c>
      <c r="AN60" t="s">
        <v>9294</v>
      </c>
      <c r="AO60" t="s">
        <v>1425</v>
      </c>
      <c r="AP60">
        <v>14496.72</v>
      </c>
      <c r="AV60">
        <v>1.6</v>
      </c>
      <c r="AW60" t="s">
        <v>54</v>
      </c>
    </row>
    <row r="61" spans="1:49">
      <c r="A61" s="1">
        <f>HYPERLINK("https://cms.ls-nyc.org/matter/dynamic-profile/view/1879557","18-1879557")</f>
        <v>0</v>
      </c>
      <c r="B61" t="s">
        <v>50</v>
      </c>
      <c r="C61" t="s">
        <v>82</v>
      </c>
      <c r="D61" t="s">
        <v>128</v>
      </c>
      <c r="E61" t="s">
        <v>288</v>
      </c>
      <c r="F61" t="s">
        <v>371</v>
      </c>
      <c r="G61" t="s">
        <v>1428</v>
      </c>
      <c r="H61" t="s">
        <v>2549</v>
      </c>
      <c r="J61" t="s">
        <v>4222</v>
      </c>
      <c r="K61">
        <v>11433</v>
      </c>
      <c r="L61" t="s">
        <v>4275</v>
      </c>
      <c r="M61" t="s">
        <v>4275</v>
      </c>
      <c r="N61" t="s">
        <v>4278</v>
      </c>
      <c r="O61" t="s">
        <v>4281</v>
      </c>
      <c r="P61" t="s">
        <v>4344</v>
      </c>
      <c r="Q61" t="s">
        <v>5732</v>
      </c>
      <c r="R61" t="s">
        <v>5753</v>
      </c>
      <c r="S61" t="s">
        <v>5759</v>
      </c>
      <c r="T61" t="s">
        <v>4276</v>
      </c>
      <c r="V61" t="s">
        <v>5767</v>
      </c>
      <c r="W61" t="s">
        <v>5772</v>
      </c>
      <c r="X61" t="s">
        <v>128</v>
      </c>
      <c r="Y61">
        <v>2500</v>
      </c>
      <c r="Z61" t="s">
        <v>5803</v>
      </c>
      <c r="AA61" t="s">
        <v>5805</v>
      </c>
      <c r="AB61" t="s">
        <v>5821</v>
      </c>
      <c r="AC61" t="s">
        <v>5889</v>
      </c>
      <c r="AD61" t="s">
        <v>7308</v>
      </c>
      <c r="AE61" t="s">
        <v>7901</v>
      </c>
      <c r="AF61">
        <v>1</v>
      </c>
      <c r="AG61" t="s">
        <v>9269</v>
      </c>
      <c r="AH61" t="s">
        <v>9284</v>
      </c>
      <c r="AI61">
        <v>1</v>
      </c>
      <c r="AJ61">
        <v>4</v>
      </c>
      <c r="AK61">
        <v>0</v>
      </c>
      <c r="AL61">
        <v>57.77</v>
      </c>
      <c r="AO61" t="s">
        <v>1425</v>
      </c>
      <c r="AP61">
        <v>14500</v>
      </c>
      <c r="AR61" t="s">
        <v>9327</v>
      </c>
      <c r="AS61" t="s">
        <v>5806</v>
      </c>
      <c r="AT61" t="s">
        <v>9369</v>
      </c>
      <c r="AU61" t="s">
        <v>9397</v>
      </c>
      <c r="AV61">
        <v>4.7</v>
      </c>
      <c r="AW61" t="s">
        <v>50</v>
      </c>
    </row>
    <row r="62" spans="1:49">
      <c r="A62" s="1">
        <f>HYPERLINK("https://cms.ls-nyc.org/matter/dynamic-profile/view/1882649","18-1882649")</f>
        <v>0</v>
      </c>
      <c r="B62" t="s">
        <v>50</v>
      </c>
      <c r="C62" t="s">
        <v>83</v>
      </c>
      <c r="D62" t="s">
        <v>111</v>
      </c>
      <c r="F62" t="s">
        <v>372</v>
      </c>
      <c r="G62" t="s">
        <v>1429</v>
      </c>
      <c r="H62" t="s">
        <v>2550</v>
      </c>
      <c r="J62" t="s">
        <v>4222</v>
      </c>
      <c r="K62">
        <v>11436</v>
      </c>
      <c r="L62" t="s">
        <v>4275</v>
      </c>
      <c r="M62" t="s">
        <v>4275</v>
      </c>
      <c r="O62" t="s">
        <v>4282</v>
      </c>
      <c r="P62" t="s">
        <v>4345</v>
      </c>
      <c r="Q62" t="s">
        <v>5732</v>
      </c>
      <c r="R62" t="s">
        <v>5753</v>
      </c>
      <c r="T62" t="s">
        <v>4276</v>
      </c>
      <c r="V62" t="s">
        <v>5767</v>
      </c>
      <c r="W62" t="s">
        <v>5774</v>
      </c>
      <c r="X62" t="s">
        <v>111</v>
      </c>
      <c r="Y62">
        <v>600</v>
      </c>
      <c r="Z62" t="s">
        <v>5803</v>
      </c>
      <c r="AA62" t="s">
        <v>5804</v>
      </c>
      <c r="AC62" t="s">
        <v>5890</v>
      </c>
      <c r="AD62" t="s">
        <v>7309</v>
      </c>
      <c r="AE62" t="s">
        <v>7902</v>
      </c>
      <c r="AF62">
        <v>1</v>
      </c>
      <c r="AG62" t="s">
        <v>9269</v>
      </c>
      <c r="AH62" t="s">
        <v>4280</v>
      </c>
      <c r="AI62">
        <v>4</v>
      </c>
      <c r="AJ62">
        <v>2</v>
      </c>
      <c r="AK62">
        <v>0</v>
      </c>
      <c r="AL62">
        <v>58.32</v>
      </c>
      <c r="AO62" t="s">
        <v>1425</v>
      </c>
      <c r="AP62">
        <v>9600</v>
      </c>
      <c r="AR62" t="s">
        <v>9326</v>
      </c>
      <c r="AS62" t="s">
        <v>5806</v>
      </c>
      <c r="AT62" t="s">
        <v>9370</v>
      </c>
      <c r="AU62" t="s">
        <v>9385</v>
      </c>
      <c r="AV62">
        <v>0.9</v>
      </c>
      <c r="AW62" t="s">
        <v>73</v>
      </c>
    </row>
    <row r="63" spans="1:49">
      <c r="A63" s="1">
        <f>HYPERLINK("https://cms.ls-nyc.org/matter/dynamic-profile/view/1898355","19-1898355")</f>
        <v>0</v>
      </c>
      <c r="B63" t="s">
        <v>50</v>
      </c>
      <c r="C63" t="s">
        <v>83</v>
      </c>
      <c r="D63" t="s">
        <v>129</v>
      </c>
      <c r="F63" t="s">
        <v>373</v>
      </c>
      <c r="G63" t="s">
        <v>1430</v>
      </c>
      <c r="H63" t="s">
        <v>2551</v>
      </c>
      <c r="I63" t="s">
        <v>3869</v>
      </c>
      <c r="J63" t="s">
        <v>4222</v>
      </c>
      <c r="K63">
        <v>11435</v>
      </c>
      <c r="L63" t="s">
        <v>4275</v>
      </c>
      <c r="M63" t="s">
        <v>4275</v>
      </c>
      <c r="O63" t="s">
        <v>4282</v>
      </c>
      <c r="P63" t="s">
        <v>4346</v>
      </c>
      <c r="Q63" t="s">
        <v>5731</v>
      </c>
      <c r="R63" t="s">
        <v>5751</v>
      </c>
      <c r="T63" t="s">
        <v>4276</v>
      </c>
      <c r="V63" t="s">
        <v>5767</v>
      </c>
      <c r="W63" t="s">
        <v>5772</v>
      </c>
      <c r="X63" t="s">
        <v>129</v>
      </c>
      <c r="Y63">
        <v>1648.23</v>
      </c>
      <c r="Z63" t="s">
        <v>5803</v>
      </c>
      <c r="AA63" t="s">
        <v>5807</v>
      </c>
      <c r="AC63" t="s">
        <v>5891</v>
      </c>
      <c r="AE63" t="s">
        <v>7903</v>
      </c>
      <c r="AF63">
        <v>0</v>
      </c>
      <c r="AG63" t="s">
        <v>9272</v>
      </c>
      <c r="AH63" t="s">
        <v>9283</v>
      </c>
      <c r="AI63">
        <v>9</v>
      </c>
      <c r="AJ63">
        <v>2</v>
      </c>
      <c r="AK63">
        <v>4</v>
      </c>
      <c r="AL63">
        <v>60.25</v>
      </c>
      <c r="AO63" t="s">
        <v>5806</v>
      </c>
      <c r="AP63">
        <v>20840.8</v>
      </c>
      <c r="AV63">
        <v>0.2</v>
      </c>
      <c r="AW63" t="s">
        <v>50</v>
      </c>
    </row>
    <row r="64" spans="1:49">
      <c r="A64" s="1">
        <f>HYPERLINK("https://cms.ls-nyc.org/matter/dynamic-profile/view/1890233","19-1890233")</f>
        <v>0</v>
      </c>
      <c r="B64" t="s">
        <v>50</v>
      </c>
      <c r="C64" t="s">
        <v>83</v>
      </c>
      <c r="D64" t="s">
        <v>127</v>
      </c>
      <c r="F64" t="s">
        <v>326</v>
      </c>
      <c r="G64" t="s">
        <v>1431</v>
      </c>
      <c r="H64" t="s">
        <v>2552</v>
      </c>
      <c r="I64" t="s">
        <v>3842</v>
      </c>
      <c r="J64" t="s">
        <v>4248</v>
      </c>
      <c r="K64">
        <v>11385</v>
      </c>
      <c r="L64" t="s">
        <v>4275</v>
      </c>
      <c r="M64" t="s">
        <v>4277</v>
      </c>
      <c r="N64" t="s">
        <v>4278</v>
      </c>
      <c r="O64" t="s">
        <v>4282</v>
      </c>
      <c r="P64" t="s">
        <v>4347</v>
      </c>
      <c r="Q64" t="s">
        <v>5731</v>
      </c>
      <c r="R64" t="s">
        <v>5751</v>
      </c>
      <c r="T64" t="s">
        <v>4276</v>
      </c>
      <c r="V64" t="s">
        <v>5767</v>
      </c>
      <c r="W64" t="s">
        <v>5772</v>
      </c>
      <c r="X64" t="s">
        <v>127</v>
      </c>
      <c r="Y64">
        <v>1112</v>
      </c>
      <c r="Z64" t="s">
        <v>5803</v>
      </c>
      <c r="AA64" t="s">
        <v>5804</v>
      </c>
      <c r="AC64" t="s">
        <v>5892</v>
      </c>
      <c r="AD64" t="s">
        <v>7310</v>
      </c>
      <c r="AE64" t="s">
        <v>7904</v>
      </c>
      <c r="AF64">
        <v>6</v>
      </c>
      <c r="AG64" t="s">
        <v>9272</v>
      </c>
      <c r="AH64" t="s">
        <v>9286</v>
      </c>
      <c r="AI64">
        <v>15</v>
      </c>
      <c r="AJ64">
        <v>2</v>
      </c>
      <c r="AK64">
        <v>2</v>
      </c>
      <c r="AL64">
        <v>66.34</v>
      </c>
      <c r="AO64" t="s">
        <v>1425</v>
      </c>
      <c r="AP64">
        <v>17082</v>
      </c>
      <c r="AR64" t="s">
        <v>9327</v>
      </c>
      <c r="AS64" t="s">
        <v>9341</v>
      </c>
      <c r="AT64" t="s">
        <v>9369</v>
      </c>
      <c r="AU64" t="s">
        <v>9376</v>
      </c>
      <c r="AV64">
        <v>22.58</v>
      </c>
      <c r="AW64" t="s">
        <v>74</v>
      </c>
    </row>
    <row r="65" spans="1:49">
      <c r="A65" s="1">
        <f>HYPERLINK("https://cms.ls-nyc.org/matter/dynamic-profile/view/1882153","18-1882153")</f>
        <v>0</v>
      </c>
      <c r="B65" t="s">
        <v>50</v>
      </c>
      <c r="C65" t="s">
        <v>83</v>
      </c>
      <c r="D65" t="s">
        <v>130</v>
      </c>
      <c r="F65" t="s">
        <v>374</v>
      </c>
      <c r="G65" t="s">
        <v>1432</v>
      </c>
      <c r="H65" t="s">
        <v>2553</v>
      </c>
      <c r="I65" t="s">
        <v>3870</v>
      </c>
      <c r="J65" t="s">
        <v>4222</v>
      </c>
      <c r="K65">
        <v>11434</v>
      </c>
      <c r="L65" t="s">
        <v>4275</v>
      </c>
      <c r="M65" t="s">
        <v>4275</v>
      </c>
      <c r="N65" t="s">
        <v>4278</v>
      </c>
      <c r="O65" t="s">
        <v>4281</v>
      </c>
      <c r="P65" t="s">
        <v>4348</v>
      </c>
      <c r="Q65" t="s">
        <v>5731</v>
      </c>
      <c r="R65" t="s">
        <v>5753</v>
      </c>
      <c r="T65" t="s">
        <v>4276</v>
      </c>
      <c r="V65" t="s">
        <v>5767</v>
      </c>
      <c r="W65" t="s">
        <v>5772</v>
      </c>
      <c r="X65" t="s">
        <v>130</v>
      </c>
      <c r="Y65">
        <v>1200</v>
      </c>
      <c r="Z65" t="s">
        <v>5803</v>
      </c>
      <c r="AA65" t="s">
        <v>5804</v>
      </c>
      <c r="AC65" t="s">
        <v>5893</v>
      </c>
      <c r="AD65" t="s">
        <v>7311</v>
      </c>
      <c r="AE65" t="s">
        <v>7905</v>
      </c>
      <c r="AF65">
        <v>2</v>
      </c>
      <c r="AG65" t="s">
        <v>9269</v>
      </c>
      <c r="AH65" t="s">
        <v>4280</v>
      </c>
      <c r="AI65">
        <v>4</v>
      </c>
      <c r="AJ65">
        <v>3</v>
      </c>
      <c r="AK65">
        <v>0</v>
      </c>
      <c r="AL65">
        <v>67.37</v>
      </c>
      <c r="AO65" t="s">
        <v>1425</v>
      </c>
      <c r="AP65">
        <v>14000</v>
      </c>
      <c r="AR65" t="s">
        <v>9327</v>
      </c>
      <c r="AS65" t="s">
        <v>5806</v>
      </c>
      <c r="AT65" t="s">
        <v>9369</v>
      </c>
      <c r="AU65" t="s">
        <v>9398</v>
      </c>
      <c r="AV65">
        <v>2.6</v>
      </c>
      <c r="AW65" t="s">
        <v>73</v>
      </c>
    </row>
    <row r="66" spans="1:49">
      <c r="A66" s="1">
        <f>HYPERLINK("https://cms.ls-nyc.org/matter/dynamic-profile/view/1873918","18-1873918")</f>
        <v>0</v>
      </c>
      <c r="B66" t="s">
        <v>50</v>
      </c>
      <c r="C66" t="s">
        <v>82</v>
      </c>
      <c r="D66" t="s">
        <v>131</v>
      </c>
      <c r="E66" t="s">
        <v>278</v>
      </c>
      <c r="F66" t="s">
        <v>375</v>
      </c>
      <c r="G66" t="s">
        <v>1433</v>
      </c>
      <c r="H66" t="s">
        <v>2554</v>
      </c>
      <c r="I66" t="s">
        <v>3871</v>
      </c>
      <c r="J66" t="s">
        <v>4234</v>
      </c>
      <c r="K66">
        <v>11102</v>
      </c>
      <c r="L66" t="s">
        <v>4275</v>
      </c>
      <c r="M66" t="s">
        <v>4275</v>
      </c>
      <c r="O66" t="s">
        <v>4282</v>
      </c>
      <c r="P66" t="s">
        <v>4349</v>
      </c>
      <c r="Q66" t="s">
        <v>5731</v>
      </c>
      <c r="R66" t="s">
        <v>5753</v>
      </c>
      <c r="S66" t="s">
        <v>5759</v>
      </c>
      <c r="T66" t="s">
        <v>4276</v>
      </c>
      <c r="V66" t="s">
        <v>5767</v>
      </c>
      <c r="W66" t="s">
        <v>5772</v>
      </c>
      <c r="X66" t="s">
        <v>131</v>
      </c>
      <c r="Y66">
        <v>1268</v>
      </c>
      <c r="Z66" t="s">
        <v>5803</v>
      </c>
      <c r="AA66" t="s">
        <v>5809</v>
      </c>
      <c r="AB66" t="s">
        <v>5821</v>
      </c>
      <c r="AC66" t="s">
        <v>5894</v>
      </c>
      <c r="AD66" t="s">
        <v>7312</v>
      </c>
      <c r="AE66" t="s">
        <v>7906</v>
      </c>
      <c r="AF66">
        <v>6</v>
      </c>
      <c r="AG66" t="s">
        <v>9272</v>
      </c>
      <c r="AH66" t="s">
        <v>9284</v>
      </c>
      <c r="AI66">
        <v>3</v>
      </c>
      <c r="AJ66">
        <v>2</v>
      </c>
      <c r="AK66">
        <v>0</v>
      </c>
      <c r="AL66">
        <v>68.09</v>
      </c>
      <c r="AP66">
        <v>11208</v>
      </c>
      <c r="AV66">
        <v>1.7</v>
      </c>
      <c r="AW66" t="s">
        <v>50</v>
      </c>
    </row>
    <row r="67" spans="1:49">
      <c r="A67" s="1">
        <f>HYPERLINK("https://cms.ls-nyc.org/matter/dynamic-profile/view/1901118","19-1901118")</f>
        <v>0</v>
      </c>
      <c r="B67" t="s">
        <v>50</v>
      </c>
      <c r="C67" t="s">
        <v>83</v>
      </c>
      <c r="D67" t="s">
        <v>90</v>
      </c>
      <c r="F67" t="s">
        <v>376</v>
      </c>
      <c r="G67" t="s">
        <v>1434</v>
      </c>
      <c r="H67" t="s">
        <v>2555</v>
      </c>
      <c r="I67" t="s">
        <v>3872</v>
      </c>
      <c r="J67" t="s">
        <v>4232</v>
      </c>
      <c r="K67">
        <v>11104</v>
      </c>
      <c r="L67" t="s">
        <v>4275</v>
      </c>
      <c r="M67" t="s">
        <v>4277</v>
      </c>
      <c r="N67" t="s">
        <v>4278</v>
      </c>
      <c r="O67" t="s">
        <v>4282</v>
      </c>
      <c r="P67" t="s">
        <v>4350</v>
      </c>
      <c r="Q67" t="s">
        <v>5731</v>
      </c>
      <c r="R67" t="s">
        <v>5751</v>
      </c>
      <c r="T67" t="s">
        <v>4276</v>
      </c>
      <c r="V67" t="s">
        <v>5767</v>
      </c>
      <c r="Y67">
        <v>1156</v>
      </c>
      <c r="Z67" t="s">
        <v>5803</v>
      </c>
      <c r="AA67" t="s">
        <v>5804</v>
      </c>
      <c r="AC67" t="s">
        <v>5895</v>
      </c>
      <c r="AF67">
        <v>54</v>
      </c>
      <c r="AG67" t="s">
        <v>9270</v>
      </c>
      <c r="AH67" t="s">
        <v>4280</v>
      </c>
      <c r="AI67">
        <v>26</v>
      </c>
      <c r="AJ67">
        <v>2</v>
      </c>
      <c r="AK67">
        <v>0</v>
      </c>
      <c r="AL67">
        <v>68.13</v>
      </c>
      <c r="AO67" t="s">
        <v>1425</v>
      </c>
      <c r="AP67">
        <v>11520</v>
      </c>
      <c r="AV67">
        <v>8.199999999999999</v>
      </c>
      <c r="AW67" t="s">
        <v>9549</v>
      </c>
    </row>
    <row r="68" spans="1:49">
      <c r="A68" s="1">
        <f>HYPERLINK("https://cms.ls-nyc.org/matter/dynamic-profile/view/1900734","19-1900734")</f>
        <v>0</v>
      </c>
      <c r="B68" t="s">
        <v>50</v>
      </c>
      <c r="C68" t="s">
        <v>83</v>
      </c>
      <c r="D68" t="s">
        <v>97</v>
      </c>
      <c r="F68" t="s">
        <v>377</v>
      </c>
      <c r="G68" t="s">
        <v>1435</v>
      </c>
      <c r="H68" t="s">
        <v>2556</v>
      </c>
      <c r="I68" t="s">
        <v>3873</v>
      </c>
      <c r="J68" t="s">
        <v>4222</v>
      </c>
      <c r="K68">
        <v>11436</v>
      </c>
      <c r="L68" t="s">
        <v>4275</v>
      </c>
      <c r="M68" t="s">
        <v>4277</v>
      </c>
      <c r="N68" t="s">
        <v>4278</v>
      </c>
      <c r="O68" t="s">
        <v>4282</v>
      </c>
      <c r="P68" t="s">
        <v>4351</v>
      </c>
      <c r="Q68" t="s">
        <v>5731</v>
      </c>
      <c r="R68" t="s">
        <v>5751</v>
      </c>
      <c r="T68" t="s">
        <v>4276</v>
      </c>
      <c r="V68" t="s">
        <v>5767</v>
      </c>
      <c r="X68" t="s">
        <v>97</v>
      </c>
      <c r="Y68">
        <v>2337</v>
      </c>
      <c r="Z68" t="s">
        <v>5803</v>
      </c>
      <c r="AA68" t="s">
        <v>5805</v>
      </c>
      <c r="AC68" t="s">
        <v>5896</v>
      </c>
      <c r="AE68" t="s">
        <v>7907</v>
      </c>
      <c r="AF68">
        <v>0</v>
      </c>
      <c r="AG68" t="s">
        <v>9272</v>
      </c>
      <c r="AH68" t="s">
        <v>5806</v>
      </c>
      <c r="AI68">
        <v>20</v>
      </c>
      <c r="AJ68">
        <v>1</v>
      </c>
      <c r="AK68">
        <v>7</v>
      </c>
      <c r="AL68">
        <v>69.08</v>
      </c>
      <c r="AO68" t="s">
        <v>1425</v>
      </c>
      <c r="AP68">
        <v>30000</v>
      </c>
      <c r="AV68">
        <v>1</v>
      </c>
      <c r="AW68" t="s">
        <v>54</v>
      </c>
    </row>
    <row r="69" spans="1:49">
      <c r="A69" s="1">
        <f>HYPERLINK("https://cms.ls-nyc.org/matter/dynamic-profile/view/1900016","19-1900016")</f>
        <v>0</v>
      </c>
      <c r="B69" t="s">
        <v>50</v>
      </c>
      <c r="C69" t="s">
        <v>83</v>
      </c>
      <c r="D69" t="s">
        <v>99</v>
      </c>
      <c r="F69" t="s">
        <v>378</v>
      </c>
      <c r="G69" t="s">
        <v>1436</v>
      </c>
      <c r="H69" t="s">
        <v>2557</v>
      </c>
      <c r="J69" t="s">
        <v>4245</v>
      </c>
      <c r="K69">
        <v>11418</v>
      </c>
      <c r="L69" t="s">
        <v>4275</v>
      </c>
      <c r="M69" t="s">
        <v>4277</v>
      </c>
      <c r="O69" t="s">
        <v>4283</v>
      </c>
      <c r="P69" t="s">
        <v>4352</v>
      </c>
      <c r="Q69" t="s">
        <v>5731</v>
      </c>
      <c r="R69" t="s">
        <v>5752</v>
      </c>
      <c r="T69" t="s">
        <v>4275</v>
      </c>
      <c r="V69" t="s">
        <v>5767</v>
      </c>
      <c r="X69" t="s">
        <v>99</v>
      </c>
      <c r="Y69">
        <v>1213</v>
      </c>
      <c r="Z69" t="s">
        <v>5803</v>
      </c>
      <c r="AA69" t="s">
        <v>5804</v>
      </c>
      <c r="AC69" t="s">
        <v>5897</v>
      </c>
      <c r="AE69" t="s">
        <v>7908</v>
      </c>
      <c r="AF69">
        <v>60</v>
      </c>
      <c r="AI69">
        <v>3</v>
      </c>
      <c r="AJ69">
        <v>1</v>
      </c>
      <c r="AK69">
        <v>0</v>
      </c>
      <c r="AL69">
        <v>72.44</v>
      </c>
      <c r="AO69" t="s">
        <v>1425</v>
      </c>
      <c r="AP69">
        <v>9048</v>
      </c>
      <c r="AV69">
        <v>5.3</v>
      </c>
      <c r="AW69" t="s">
        <v>9547</v>
      </c>
    </row>
    <row r="70" spans="1:49">
      <c r="A70" s="1">
        <f>HYPERLINK("https://cms.ls-nyc.org/matter/dynamic-profile/view/1896008","19-1896008")</f>
        <v>0</v>
      </c>
      <c r="B70" t="s">
        <v>50</v>
      </c>
      <c r="C70" t="s">
        <v>83</v>
      </c>
      <c r="D70" t="s">
        <v>105</v>
      </c>
      <c r="F70" t="s">
        <v>379</v>
      </c>
      <c r="G70" t="s">
        <v>1264</v>
      </c>
      <c r="H70" t="s">
        <v>2558</v>
      </c>
      <c r="I70" t="s">
        <v>3874</v>
      </c>
      <c r="J70" t="s">
        <v>4240</v>
      </c>
      <c r="K70">
        <v>11373</v>
      </c>
      <c r="L70" t="s">
        <v>4275</v>
      </c>
      <c r="M70" t="s">
        <v>4275</v>
      </c>
      <c r="O70" t="s">
        <v>4281</v>
      </c>
      <c r="P70" t="s">
        <v>4353</v>
      </c>
      <c r="Q70" t="s">
        <v>5731</v>
      </c>
      <c r="R70" t="s">
        <v>5751</v>
      </c>
      <c r="T70" t="s">
        <v>4276</v>
      </c>
      <c r="V70" t="s">
        <v>5767</v>
      </c>
      <c r="W70" t="s">
        <v>5772</v>
      </c>
      <c r="X70" t="s">
        <v>94</v>
      </c>
      <c r="Y70">
        <v>1049.33</v>
      </c>
      <c r="Z70" t="s">
        <v>5803</v>
      </c>
      <c r="AA70" t="s">
        <v>5804</v>
      </c>
      <c r="AC70" t="s">
        <v>5898</v>
      </c>
      <c r="AD70" t="s">
        <v>4700</v>
      </c>
      <c r="AE70" t="s">
        <v>7909</v>
      </c>
      <c r="AF70">
        <v>0</v>
      </c>
      <c r="AG70" t="s">
        <v>9272</v>
      </c>
      <c r="AH70" t="s">
        <v>4280</v>
      </c>
      <c r="AI70">
        <v>10</v>
      </c>
      <c r="AJ70">
        <v>3</v>
      </c>
      <c r="AK70">
        <v>0</v>
      </c>
      <c r="AL70">
        <v>73.14</v>
      </c>
      <c r="AO70" t="s">
        <v>1425</v>
      </c>
      <c r="AP70">
        <v>15600</v>
      </c>
      <c r="AV70">
        <v>9.5</v>
      </c>
      <c r="AW70" t="s">
        <v>50</v>
      </c>
    </row>
    <row r="71" spans="1:49">
      <c r="A71" s="1">
        <f>HYPERLINK("https://cms.ls-nyc.org/matter/dynamic-profile/view/1896168","19-1896168")</f>
        <v>0</v>
      </c>
      <c r="B71" t="s">
        <v>50</v>
      </c>
      <c r="C71" t="s">
        <v>83</v>
      </c>
      <c r="D71" t="s">
        <v>132</v>
      </c>
      <c r="F71" t="s">
        <v>380</v>
      </c>
      <c r="G71" t="s">
        <v>1437</v>
      </c>
      <c r="H71" t="s">
        <v>2559</v>
      </c>
      <c r="I71" t="s">
        <v>3875</v>
      </c>
      <c r="J71" t="s">
        <v>4222</v>
      </c>
      <c r="K71">
        <v>11435</v>
      </c>
      <c r="L71" t="s">
        <v>4275</v>
      </c>
      <c r="M71" t="s">
        <v>4275</v>
      </c>
      <c r="O71" t="s">
        <v>4282</v>
      </c>
      <c r="P71" t="s">
        <v>4354</v>
      </c>
      <c r="Q71" t="s">
        <v>5731</v>
      </c>
      <c r="R71" t="s">
        <v>5751</v>
      </c>
      <c r="T71" t="s">
        <v>4276</v>
      </c>
      <c r="V71" t="s">
        <v>5767</v>
      </c>
      <c r="W71" t="s">
        <v>5772</v>
      </c>
      <c r="X71" t="s">
        <v>132</v>
      </c>
      <c r="Y71">
        <v>735.54</v>
      </c>
      <c r="Z71" t="s">
        <v>5803</v>
      </c>
      <c r="AA71" t="s">
        <v>5807</v>
      </c>
      <c r="AC71" t="s">
        <v>5899</v>
      </c>
      <c r="AD71" t="s">
        <v>7313</v>
      </c>
      <c r="AE71" t="s">
        <v>7910</v>
      </c>
      <c r="AF71">
        <v>8</v>
      </c>
      <c r="AG71" t="s">
        <v>9268</v>
      </c>
      <c r="AH71" t="s">
        <v>4280</v>
      </c>
      <c r="AI71">
        <v>6</v>
      </c>
      <c r="AJ71">
        <v>1</v>
      </c>
      <c r="AK71">
        <v>0</v>
      </c>
      <c r="AL71">
        <v>74.08</v>
      </c>
      <c r="AO71" t="s">
        <v>1425</v>
      </c>
      <c r="AP71">
        <v>9252</v>
      </c>
      <c r="AV71">
        <v>11.9</v>
      </c>
      <c r="AW71" t="s">
        <v>50</v>
      </c>
    </row>
    <row r="72" spans="1:49">
      <c r="A72" s="1">
        <f>HYPERLINK("https://cms.ls-nyc.org/matter/dynamic-profile/view/1893043","19-1893043")</f>
        <v>0</v>
      </c>
      <c r="B72" t="s">
        <v>50</v>
      </c>
      <c r="C72" t="s">
        <v>83</v>
      </c>
      <c r="D72" t="s">
        <v>114</v>
      </c>
      <c r="F72" t="s">
        <v>381</v>
      </c>
      <c r="G72" t="s">
        <v>1438</v>
      </c>
      <c r="H72" t="s">
        <v>2558</v>
      </c>
      <c r="I72" t="s">
        <v>3876</v>
      </c>
      <c r="J72" t="s">
        <v>4240</v>
      </c>
      <c r="K72">
        <v>11373</v>
      </c>
      <c r="L72" t="s">
        <v>4275</v>
      </c>
      <c r="M72" t="s">
        <v>4275</v>
      </c>
      <c r="N72" t="s">
        <v>4278</v>
      </c>
      <c r="O72" t="s">
        <v>4281</v>
      </c>
      <c r="P72" t="s">
        <v>4355</v>
      </c>
      <c r="Q72" t="s">
        <v>5731</v>
      </c>
      <c r="R72" t="s">
        <v>5751</v>
      </c>
      <c r="T72" t="s">
        <v>4276</v>
      </c>
      <c r="V72" t="s">
        <v>5767</v>
      </c>
      <c r="W72" t="s">
        <v>5772</v>
      </c>
      <c r="X72" t="s">
        <v>114</v>
      </c>
      <c r="Y72">
        <v>1500</v>
      </c>
      <c r="Z72" t="s">
        <v>5803</v>
      </c>
      <c r="AA72" t="s">
        <v>5804</v>
      </c>
      <c r="AC72" t="s">
        <v>5900</v>
      </c>
      <c r="AD72" t="s">
        <v>7314</v>
      </c>
      <c r="AE72" t="s">
        <v>7911</v>
      </c>
      <c r="AF72">
        <v>60</v>
      </c>
      <c r="AG72" t="s">
        <v>9270</v>
      </c>
      <c r="AH72" t="s">
        <v>4280</v>
      </c>
      <c r="AI72">
        <v>7</v>
      </c>
      <c r="AJ72">
        <v>2</v>
      </c>
      <c r="AK72">
        <v>0</v>
      </c>
      <c r="AL72">
        <v>76.88</v>
      </c>
      <c r="AO72" t="s">
        <v>1425</v>
      </c>
      <c r="AP72">
        <v>13000</v>
      </c>
      <c r="AR72" t="s">
        <v>9327</v>
      </c>
      <c r="AS72" t="s">
        <v>9343</v>
      </c>
      <c r="AT72" t="s">
        <v>9369</v>
      </c>
      <c r="AU72" t="s">
        <v>9399</v>
      </c>
      <c r="AV72">
        <v>13.5</v>
      </c>
      <c r="AW72" t="s">
        <v>54</v>
      </c>
    </row>
    <row r="73" spans="1:49">
      <c r="A73" s="1">
        <f>HYPERLINK("https://cms.ls-nyc.org/matter/dynamic-profile/view/1873181","18-1873181")</f>
        <v>0</v>
      </c>
      <c r="B73" t="s">
        <v>50</v>
      </c>
      <c r="C73" t="s">
        <v>82</v>
      </c>
      <c r="D73" t="s">
        <v>133</v>
      </c>
      <c r="E73" t="s">
        <v>257</v>
      </c>
      <c r="F73" t="s">
        <v>382</v>
      </c>
      <c r="G73" t="s">
        <v>1439</v>
      </c>
      <c r="H73" t="s">
        <v>2560</v>
      </c>
      <c r="I73">
        <v>3</v>
      </c>
      <c r="J73" t="s">
        <v>4243</v>
      </c>
      <c r="K73">
        <v>11691</v>
      </c>
      <c r="L73" t="s">
        <v>4275</v>
      </c>
      <c r="M73" t="s">
        <v>4275</v>
      </c>
      <c r="O73" t="s">
        <v>4282</v>
      </c>
      <c r="P73" t="s">
        <v>4356</v>
      </c>
      <c r="Q73" t="s">
        <v>5732</v>
      </c>
      <c r="R73" t="s">
        <v>5753</v>
      </c>
      <c r="S73" t="s">
        <v>5759</v>
      </c>
      <c r="T73" t="s">
        <v>4276</v>
      </c>
      <c r="V73" t="s">
        <v>5767</v>
      </c>
      <c r="W73" t="s">
        <v>5774</v>
      </c>
      <c r="X73" t="s">
        <v>133</v>
      </c>
      <c r="Y73">
        <v>1699</v>
      </c>
      <c r="Z73" t="s">
        <v>5803</v>
      </c>
      <c r="AA73" t="s">
        <v>5804</v>
      </c>
      <c r="AB73" t="s">
        <v>5821</v>
      </c>
      <c r="AC73" t="s">
        <v>5901</v>
      </c>
      <c r="AD73" t="s">
        <v>4700</v>
      </c>
      <c r="AE73" t="s">
        <v>7912</v>
      </c>
      <c r="AF73">
        <v>3</v>
      </c>
      <c r="AG73" t="s">
        <v>9269</v>
      </c>
      <c r="AH73" t="s">
        <v>9282</v>
      </c>
      <c r="AI73">
        <v>5</v>
      </c>
      <c r="AJ73">
        <v>2</v>
      </c>
      <c r="AK73">
        <v>0</v>
      </c>
      <c r="AL73">
        <v>79.61</v>
      </c>
      <c r="AO73" t="s">
        <v>1425</v>
      </c>
      <c r="AP73">
        <v>13104</v>
      </c>
      <c r="AR73" t="s">
        <v>9330</v>
      </c>
      <c r="AS73" t="s">
        <v>9344</v>
      </c>
      <c r="AT73" t="s">
        <v>9369</v>
      </c>
      <c r="AU73" t="s">
        <v>9400</v>
      </c>
      <c r="AV73">
        <v>1</v>
      </c>
      <c r="AW73" t="s">
        <v>74</v>
      </c>
    </row>
    <row r="74" spans="1:49">
      <c r="A74" s="1">
        <f>HYPERLINK("https://cms.ls-nyc.org/matter/dynamic-profile/view/1892714","19-1892714")</f>
        <v>0</v>
      </c>
      <c r="B74" t="s">
        <v>50</v>
      </c>
      <c r="C74" t="s">
        <v>83</v>
      </c>
      <c r="D74" t="s">
        <v>134</v>
      </c>
      <c r="F74" t="s">
        <v>383</v>
      </c>
      <c r="G74" t="s">
        <v>1440</v>
      </c>
      <c r="H74" t="s">
        <v>2561</v>
      </c>
      <c r="I74" t="s">
        <v>3877</v>
      </c>
      <c r="J74" t="s">
        <v>4230</v>
      </c>
      <c r="K74">
        <v>11101</v>
      </c>
      <c r="L74" t="s">
        <v>4275</v>
      </c>
      <c r="M74" t="s">
        <v>4275</v>
      </c>
      <c r="O74" t="s">
        <v>4282</v>
      </c>
      <c r="P74" t="s">
        <v>4357</v>
      </c>
      <c r="Q74" t="s">
        <v>5735</v>
      </c>
      <c r="R74" t="s">
        <v>5751</v>
      </c>
      <c r="T74" t="s">
        <v>4276</v>
      </c>
      <c r="V74" t="s">
        <v>5768</v>
      </c>
      <c r="W74" t="s">
        <v>5772</v>
      </c>
      <c r="X74" t="s">
        <v>5780</v>
      </c>
      <c r="Y74">
        <v>20</v>
      </c>
      <c r="Z74" t="s">
        <v>5803</v>
      </c>
      <c r="AA74" t="s">
        <v>5804</v>
      </c>
      <c r="AC74" t="s">
        <v>5902</v>
      </c>
      <c r="AD74" t="s">
        <v>7315</v>
      </c>
      <c r="AE74" t="s">
        <v>7913</v>
      </c>
      <c r="AF74">
        <v>492</v>
      </c>
      <c r="AG74" t="s">
        <v>9271</v>
      </c>
      <c r="AH74" t="s">
        <v>4280</v>
      </c>
      <c r="AI74">
        <v>0</v>
      </c>
      <c r="AJ74">
        <v>2</v>
      </c>
      <c r="AK74">
        <v>0</v>
      </c>
      <c r="AL74">
        <v>80.34999999999999</v>
      </c>
      <c r="AO74" t="s">
        <v>9298</v>
      </c>
      <c r="AP74">
        <v>13588</v>
      </c>
      <c r="AR74" t="s">
        <v>9329</v>
      </c>
      <c r="AS74" t="s">
        <v>9336</v>
      </c>
      <c r="AT74" t="s">
        <v>9369</v>
      </c>
      <c r="AU74" t="s">
        <v>9401</v>
      </c>
      <c r="AV74">
        <v>15.2</v>
      </c>
      <c r="AW74" t="s">
        <v>54</v>
      </c>
    </row>
    <row r="75" spans="1:49">
      <c r="A75" s="1">
        <f>HYPERLINK("https://cms.ls-nyc.org/matter/dynamic-profile/view/1888291","19-1888291")</f>
        <v>0</v>
      </c>
      <c r="B75" t="s">
        <v>50</v>
      </c>
      <c r="C75" t="s">
        <v>82</v>
      </c>
      <c r="D75" t="s">
        <v>135</v>
      </c>
      <c r="E75" t="s">
        <v>250</v>
      </c>
      <c r="F75" t="s">
        <v>384</v>
      </c>
      <c r="G75" t="s">
        <v>1441</v>
      </c>
      <c r="H75" t="s">
        <v>2562</v>
      </c>
      <c r="I75" t="s">
        <v>3878</v>
      </c>
      <c r="J75" t="s">
        <v>4244</v>
      </c>
      <c r="K75">
        <v>11413</v>
      </c>
      <c r="L75" t="s">
        <v>4275</v>
      </c>
      <c r="M75" t="s">
        <v>4275</v>
      </c>
      <c r="N75" t="s">
        <v>4278</v>
      </c>
      <c r="O75" t="s">
        <v>4282</v>
      </c>
      <c r="P75" t="s">
        <v>4358</v>
      </c>
      <c r="Q75" t="s">
        <v>5732</v>
      </c>
      <c r="R75" t="s">
        <v>5753</v>
      </c>
      <c r="S75" t="s">
        <v>5759</v>
      </c>
      <c r="T75" t="s">
        <v>4276</v>
      </c>
      <c r="V75" t="s">
        <v>5767</v>
      </c>
      <c r="W75" t="s">
        <v>5772</v>
      </c>
      <c r="X75" t="s">
        <v>135</v>
      </c>
      <c r="Y75">
        <v>700</v>
      </c>
      <c r="Z75" t="s">
        <v>5803</v>
      </c>
      <c r="AA75" t="s">
        <v>5804</v>
      </c>
      <c r="AB75" t="s">
        <v>5821</v>
      </c>
      <c r="AC75" t="s">
        <v>5903</v>
      </c>
      <c r="AE75" t="s">
        <v>7914</v>
      </c>
      <c r="AF75">
        <v>2</v>
      </c>
      <c r="AG75" t="s">
        <v>9269</v>
      </c>
      <c r="AH75" t="s">
        <v>4280</v>
      </c>
      <c r="AI75">
        <v>20</v>
      </c>
      <c r="AJ75">
        <v>1</v>
      </c>
      <c r="AK75">
        <v>0</v>
      </c>
      <c r="AL75">
        <v>83.56</v>
      </c>
      <c r="AO75" t="s">
        <v>1425</v>
      </c>
      <c r="AP75">
        <v>10144</v>
      </c>
      <c r="AT75" t="s">
        <v>9369</v>
      </c>
      <c r="AU75" t="s">
        <v>9396</v>
      </c>
      <c r="AV75">
        <v>1.2</v>
      </c>
      <c r="AW75" t="s">
        <v>74</v>
      </c>
    </row>
    <row r="76" spans="1:49">
      <c r="A76" s="1">
        <f>HYPERLINK("https://cms.ls-nyc.org/matter/dynamic-profile/view/1887656","19-1887656")</f>
        <v>0</v>
      </c>
      <c r="B76" t="s">
        <v>50</v>
      </c>
      <c r="C76" t="s">
        <v>82</v>
      </c>
      <c r="D76" t="s">
        <v>136</v>
      </c>
      <c r="E76" t="s">
        <v>216</v>
      </c>
      <c r="F76" t="s">
        <v>385</v>
      </c>
      <c r="G76" t="s">
        <v>1442</v>
      </c>
      <c r="H76" t="s">
        <v>2563</v>
      </c>
      <c r="I76">
        <v>2</v>
      </c>
      <c r="J76" t="s">
        <v>4222</v>
      </c>
      <c r="K76">
        <v>11433</v>
      </c>
      <c r="L76" t="s">
        <v>4275</v>
      </c>
      <c r="M76" t="s">
        <v>4275</v>
      </c>
      <c r="O76" t="s">
        <v>4281</v>
      </c>
      <c r="P76" t="s">
        <v>4359</v>
      </c>
      <c r="Q76" t="s">
        <v>5731</v>
      </c>
      <c r="R76" t="s">
        <v>5751</v>
      </c>
      <c r="S76" t="s">
        <v>5761</v>
      </c>
      <c r="T76" t="s">
        <v>4276</v>
      </c>
      <c r="V76" t="s">
        <v>5767</v>
      </c>
      <c r="W76" t="s">
        <v>5773</v>
      </c>
      <c r="X76" t="s">
        <v>136</v>
      </c>
      <c r="Y76">
        <v>238</v>
      </c>
      <c r="Z76" t="s">
        <v>5803</v>
      </c>
      <c r="AA76" t="s">
        <v>5805</v>
      </c>
      <c r="AB76" t="s">
        <v>5824</v>
      </c>
      <c r="AC76" t="s">
        <v>5904</v>
      </c>
      <c r="AE76" t="s">
        <v>7915</v>
      </c>
      <c r="AF76">
        <v>216</v>
      </c>
      <c r="AG76" t="s">
        <v>9271</v>
      </c>
      <c r="AH76" t="s">
        <v>4280</v>
      </c>
      <c r="AI76">
        <v>1</v>
      </c>
      <c r="AJ76">
        <v>1</v>
      </c>
      <c r="AK76">
        <v>0</v>
      </c>
      <c r="AL76">
        <v>83.81999999999999</v>
      </c>
      <c r="AO76" t="s">
        <v>1425</v>
      </c>
      <c r="AP76">
        <v>10176</v>
      </c>
      <c r="AR76" t="s">
        <v>9327</v>
      </c>
      <c r="AS76" t="s">
        <v>9336</v>
      </c>
      <c r="AT76" t="s">
        <v>9370</v>
      </c>
      <c r="AU76" t="s">
        <v>9388</v>
      </c>
      <c r="AV76">
        <v>7.5</v>
      </c>
      <c r="AW76" t="s">
        <v>73</v>
      </c>
    </row>
    <row r="77" spans="1:49">
      <c r="A77" s="1">
        <f>HYPERLINK("https://cms.ls-nyc.org/matter/dynamic-profile/view/1873165","18-1873165")</f>
        <v>0</v>
      </c>
      <c r="B77" t="s">
        <v>50</v>
      </c>
      <c r="C77" t="s">
        <v>82</v>
      </c>
      <c r="D77" t="s">
        <v>133</v>
      </c>
      <c r="E77" t="s">
        <v>257</v>
      </c>
      <c r="F77" t="s">
        <v>386</v>
      </c>
      <c r="G77" t="s">
        <v>1443</v>
      </c>
      <c r="H77" t="s">
        <v>2564</v>
      </c>
      <c r="I77" t="s">
        <v>3879</v>
      </c>
      <c r="J77" t="s">
        <v>4222</v>
      </c>
      <c r="K77">
        <v>11435</v>
      </c>
      <c r="L77" t="s">
        <v>4275</v>
      </c>
      <c r="M77" t="s">
        <v>4275</v>
      </c>
      <c r="O77" t="s">
        <v>4282</v>
      </c>
      <c r="P77" t="s">
        <v>4360</v>
      </c>
      <c r="Q77" t="s">
        <v>5731</v>
      </c>
      <c r="R77" t="s">
        <v>5753</v>
      </c>
      <c r="S77" t="s">
        <v>5759</v>
      </c>
      <c r="T77" t="s">
        <v>4275</v>
      </c>
      <c r="V77" t="s">
        <v>5767</v>
      </c>
      <c r="W77" t="s">
        <v>5774</v>
      </c>
      <c r="X77" t="s">
        <v>133</v>
      </c>
      <c r="Y77">
        <v>1175.08</v>
      </c>
      <c r="Z77" t="s">
        <v>5803</v>
      </c>
      <c r="AA77" t="s">
        <v>5804</v>
      </c>
      <c r="AB77" t="s">
        <v>5821</v>
      </c>
      <c r="AC77" t="s">
        <v>5905</v>
      </c>
      <c r="AD77" t="s">
        <v>7316</v>
      </c>
      <c r="AE77" t="s">
        <v>7916</v>
      </c>
      <c r="AF77">
        <v>60</v>
      </c>
      <c r="AG77" t="s">
        <v>9272</v>
      </c>
      <c r="AH77" t="s">
        <v>9287</v>
      </c>
      <c r="AI77">
        <v>30</v>
      </c>
      <c r="AJ77">
        <v>2</v>
      </c>
      <c r="AK77">
        <v>2</v>
      </c>
      <c r="AL77">
        <v>84.72</v>
      </c>
      <c r="AO77" t="s">
        <v>9298</v>
      </c>
      <c r="AP77">
        <v>21264</v>
      </c>
      <c r="AV77">
        <v>1.5</v>
      </c>
      <c r="AW77" t="s">
        <v>74</v>
      </c>
    </row>
    <row r="78" spans="1:49">
      <c r="A78" s="1">
        <f>HYPERLINK("https://cms.ls-nyc.org/matter/dynamic-profile/view/1888334","19-1888334")</f>
        <v>0</v>
      </c>
      <c r="B78" t="s">
        <v>50</v>
      </c>
      <c r="C78" t="s">
        <v>82</v>
      </c>
      <c r="D78" t="s">
        <v>135</v>
      </c>
      <c r="E78" t="s">
        <v>99</v>
      </c>
      <c r="F78" t="s">
        <v>387</v>
      </c>
      <c r="G78" t="s">
        <v>1444</v>
      </c>
      <c r="H78" t="s">
        <v>2565</v>
      </c>
      <c r="J78" t="s">
        <v>4249</v>
      </c>
      <c r="K78">
        <v>11428</v>
      </c>
      <c r="L78" t="s">
        <v>4275</v>
      </c>
      <c r="M78" t="s">
        <v>4275</v>
      </c>
      <c r="O78" t="s">
        <v>4282</v>
      </c>
      <c r="P78" t="s">
        <v>4361</v>
      </c>
      <c r="Q78" t="s">
        <v>5732</v>
      </c>
      <c r="R78" t="s">
        <v>5753</v>
      </c>
      <c r="S78" t="s">
        <v>5759</v>
      </c>
      <c r="T78" t="s">
        <v>4276</v>
      </c>
      <c r="V78" t="s">
        <v>5767</v>
      </c>
      <c r="W78" t="s">
        <v>5774</v>
      </c>
      <c r="X78" t="s">
        <v>135</v>
      </c>
      <c r="Y78">
        <v>1500</v>
      </c>
      <c r="Z78" t="s">
        <v>5803</v>
      </c>
      <c r="AA78" t="s">
        <v>5804</v>
      </c>
      <c r="AB78" t="s">
        <v>5821</v>
      </c>
      <c r="AC78" t="s">
        <v>5906</v>
      </c>
      <c r="AD78" t="s">
        <v>7317</v>
      </c>
      <c r="AE78" t="s">
        <v>7917</v>
      </c>
      <c r="AF78">
        <v>2</v>
      </c>
      <c r="AG78" t="s">
        <v>9269</v>
      </c>
      <c r="AH78" t="s">
        <v>9285</v>
      </c>
      <c r="AI78">
        <v>34</v>
      </c>
      <c r="AJ78">
        <v>1</v>
      </c>
      <c r="AK78">
        <v>0</v>
      </c>
      <c r="AL78">
        <v>89.5</v>
      </c>
      <c r="AO78" t="s">
        <v>1425</v>
      </c>
      <c r="AP78">
        <v>10865</v>
      </c>
      <c r="AR78" t="s">
        <v>9326</v>
      </c>
      <c r="AS78" t="s">
        <v>5806</v>
      </c>
      <c r="AT78" t="s">
        <v>9369</v>
      </c>
      <c r="AU78" t="s">
        <v>9396</v>
      </c>
      <c r="AV78">
        <v>0.7</v>
      </c>
      <c r="AW78" t="s">
        <v>54</v>
      </c>
    </row>
    <row r="79" spans="1:49">
      <c r="A79" s="1">
        <f>HYPERLINK("https://cms.ls-nyc.org/matter/dynamic-profile/view/1878238","18-1878238")</f>
        <v>0</v>
      </c>
      <c r="B79" t="s">
        <v>50</v>
      </c>
      <c r="C79" t="s">
        <v>83</v>
      </c>
      <c r="D79" t="s">
        <v>137</v>
      </c>
      <c r="F79" t="s">
        <v>388</v>
      </c>
      <c r="G79" t="s">
        <v>1445</v>
      </c>
      <c r="H79" t="s">
        <v>2566</v>
      </c>
      <c r="I79" t="s">
        <v>3880</v>
      </c>
      <c r="J79" t="s">
        <v>4222</v>
      </c>
      <c r="K79">
        <v>11434</v>
      </c>
      <c r="L79" t="s">
        <v>4275</v>
      </c>
      <c r="M79" t="s">
        <v>4275</v>
      </c>
      <c r="O79" t="s">
        <v>4281</v>
      </c>
      <c r="P79" t="s">
        <v>4362</v>
      </c>
      <c r="Q79" t="s">
        <v>5732</v>
      </c>
      <c r="R79" t="s">
        <v>5753</v>
      </c>
      <c r="T79" t="s">
        <v>4276</v>
      </c>
      <c r="V79" t="s">
        <v>5767</v>
      </c>
      <c r="W79" t="s">
        <v>5772</v>
      </c>
      <c r="X79" t="s">
        <v>137</v>
      </c>
      <c r="Y79">
        <v>1000</v>
      </c>
      <c r="Z79" t="s">
        <v>5803</v>
      </c>
      <c r="AA79" t="s">
        <v>5804</v>
      </c>
      <c r="AC79" t="s">
        <v>5907</v>
      </c>
      <c r="AE79" t="s">
        <v>7918</v>
      </c>
      <c r="AF79">
        <v>5860</v>
      </c>
      <c r="AG79" t="s">
        <v>9275</v>
      </c>
      <c r="AH79" t="s">
        <v>4280</v>
      </c>
      <c r="AI79">
        <v>20</v>
      </c>
      <c r="AJ79">
        <v>2</v>
      </c>
      <c r="AK79">
        <v>3</v>
      </c>
      <c r="AL79">
        <v>89.73</v>
      </c>
      <c r="AO79" t="s">
        <v>1425</v>
      </c>
      <c r="AP79">
        <v>26400</v>
      </c>
      <c r="AR79" t="s">
        <v>9326</v>
      </c>
      <c r="AS79" t="s">
        <v>5806</v>
      </c>
      <c r="AT79" t="s">
        <v>9369</v>
      </c>
      <c r="AU79" t="s">
        <v>9385</v>
      </c>
      <c r="AV79">
        <v>3.5</v>
      </c>
      <c r="AW79" t="s">
        <v>50</v>
      </c>
    </row>
    <row r="80" spans="1:49">
      <c r="A80" s="1">
        <f>HYPERLINK("https://cms.ls-nyc.org/matter/dynamic-profile/view/1900058","19-1900058")</f>
        <v>0</v>
      </c>
      <c r="B80" t="s">
        <v>50</v>
      </c>
      <c r="C80" t="s">
        <v>83</v>
      </c>
      <c r="D80" t="s">
        <v>99</v>
      </c>
      <c r="F80" t="s">
        <v>389</v>
      </c>
      <c r="G80" t="s">
        <v>1446</v>
      </c>
      <c r="H80" t="s">
        <v>2567</v>
      </c>
      <c r="J80" t="s">
        <v>4250</v>
      </c>
      <c r="K80">
        <v>11412</v>
      </c>
      <c r="L80" t="s">
        <v>4275</v>
      </c>
      <c r="M80" t="s">
        <v>4277</v>
      </c>
      <c r="O80" t="s">
        <v>4283</v>
      </c>
      <c r="P80" t="s">
        <v>4363</v>
      </c>
      <c r="Q80" t="s">
        <v>5732</v>
      </c>
      <c r="R80" t="s">
        <v>5752</v>
      </c>
      <c r="T80" t="s">
        <v>4276</v>
      </c>
      <c r="V80" t="s">
        <v>5767</v>
      </c>
      <c r="X80" t="s">
        <v>99</v>
      </c>
      <c r="Y80">
        <v>0</v>
      </c>
      <c r="Z80" t="s">
        <v>5803</v>
      </c>
      <c r="AA80" t="s">
        <v>5804</v>
      </c>
      <c r="AC80" t="s">
        <v>5908</v>
      </c>
      <c r="AE80" t="s">
        <v>7919</v>
      </c>
      <c r="AF80">
        <v>0</v>
      </c>
      <c r="AI80">
        <v>3</v>
      </c>
      <c r="AJ80">
        <v>1</v>
      </c>
      <c r="AK80">
        <v>0</v>
      </c>
      <c r="AL80">
        <v>89.83</v>
      </c>
      <c r="AO80" t="s">
        <v>1425</v>
      </c>
      <c r="AP80">
        <v>11220</v>
      </c>
      <c r="AV80">
        <v>1</v>
      </c>
      <c r="AW80" t="s">
        <v>9547</v>
      </c>
    </row>
    <row r="81" spans="1:49">
      <c r="A81" s="1">
        <f>HYPERLINK("https://cms.ls-nyc.org/matter/dynamic-profile/view/1875085","18-1875085")</f>
        <v>0</v>
      </c>
      <c r="B81" t="s">
        <v>50</v>
      </c>
      <c r="C81" t="s">
        <v>82</v>
      </c>
      <c r="D81" t="s">
        <v>118</v>
      </c>
      <c r="E81" t="s">
        <v>265</v>
      </c>
      <c r="F81" t="s">
        <v>390</v>
      </c>
      <c r="G81" t="s">
        <v>1447</v>
      </c>
      <c r="H81" t="s">
        <v>2568</v>
      </c>
      <c r="I81" t="s">
        <v>3881</v>
      </c>
      <c r="J81" t="s">
        <v>4222</v>
      </c>
      <c r="K81">
        <v>11434</v>
      </c>
      <c r="L81" t="s">
        <v>4275</v>
      </c>
      <c r="M81" t="s">
        <v>4275</v>
      </c>
      <c r="O81" t="s">
        <v>4281</v>
      </c>
      <c r="P81" t="s">
        <v>4364</v>
      </c>
      <c r="Q81" t="s">
        <v>5731</v>
      </c>
      <c r="R81" t="s">
        <v>5751</v>
      </c>
      <c r="S81" t="s">
        <v>5758</v>
      </c>
      <c r="T81" t="s">
        <v>4276</v>
      </c>
      <c r="V81" t="s">
        <v>5767</v>
      </c>
      <c r="W81" t="s">
        <v>5772</v>
      </c>
      <c r="X81" t="s">
        <v>118</v>
      </c>
      <c r="Y81">
        <v>1300</v>
      </c>
      <c r="Z81" t="s">
        <v>5803</v>
      </c>
      <c r="AA81" t="s">
        <v>5804</v>
      </c>
      <c r="AB81" t="s">
        <v>5820</v>
      </c>
      <c r="AC81" t="s">
        <v>5909</v>
      </c>
      <c r="AD81" t="s">
        <v>7318</v>
      </c>
      <c r="AE81" t="s">
        <v>7920</v>
      </c>
      <c r="AF81">
        <v>151</v>
      </c>
      <c r="AG81" t="s">
        <v>9272</v>
      </c>
      <c r="AH81" t="s">
        <v>4280</v>
      </c>
      <c r="AI81">
        <v>34</v>
      </c>
      <c r="AJ81">
        <v>2</v>
      </c>
      <c r="AK81">
        <v>1</v>
      </c>
      <c r="AL81">
        <v>90.09</v>
      </c>
      <c r="AO81" t="s">
        <v>1425</v>
      </c>
      <c r="AP81">
        <v>18720</v>
      </c>
      <c r="AR81" t="s">
        <v>9327</v>
      </c>
      <c r="AS81" t="s">
        <v>9340</v>
      </c>
      <c r="AT81" t="s">
        <v>9369</v>
      </c>
      <c r="AU81" t="s">
        <v>9402</v>
      </c>
      <c r="AV81">
        <v>6.1</v>
      </c>
      <c r="AW81" t="s">
        <v>73</v>
      </c>
    </row>
    <row r="82" spans="1:49">
      <c r="A82" s="1">
        <f>HYPERLINK("https://cms.ls-nyc.org/matter/dynamic-profile/view/1896039","19-1896039")</f>
        <v>0</v>
      </c>
      <c r="B82" t="s">
        <v>50</v>
      </c>
      <c r="C82" t="s">
        <v>83</v>
      </c>
      <c r="D82" t="s">
        <v>138</v>
      </c>
      <c r="F82" t="s">
        <v>391</v>
      </c>
      <c r="G82" t="s">
        <v>1448</v>
      </c>
      <c r="H82" t="s">
        <v>2569</v>
      </c>
      <c r="I82">
        <v>213</v>
      </c>
      <c r="J82" t="s">
        <v>4222</v>
      </c>
      <c r="K82">
        <v>11433</v>
      </c>
      <c r="L82" t="s">
        <v>4275</v>
      </c>
      <c r="M82" t="s">
        <v>4275</v>
      </c>
      <c r="N82" t="s">
        <v>4278</v>
      </c>
      <c r="O82" t="s">
        <v>4281</v>
      </c>
      <c r="P82" t="s">
        <v>4365</v>
      </c>
      <c r="Q82" t="s">
        <v>5731</v>
      </c>
      <c r="R82" t="s">
        <v>5751</v>
      </c>
      <c r="T82" t="s">
        <v>4276</v>
      </c>
      <c r="V82" t="s">
        <v>5767</v>
      </c>
      <c r="W82" t="s">
        <v>5772</v>
      </c>
      <c r="X82" t="s">
        <v>94</v>
      </c>
      <c r="Y82">
        <v>688.21</v>
      </c>
      <c r="Z82" t="s">
        <v>5803</v>
      </c>
      <c r="AA82" t="s">
        <v>5804</v>
      </c>
      <c r="AC82" t="s">
        <v>5910</v>
      </c>
      <c r="AD82" t="s">
        <v>4700</v>
      </c>
      <c r="AF82">
        <v>54</v>
      </c>
      <c r="AG82" t="s">
        <v>9268</v>
      </c>
      <c r="AH82" t="s">
        <v>5806</v>
      </c>
      <c r="AI82">
        <v>2</v>
      </c>
      <c r="AJ82">
        <v>1</v>
      </c>
      <c r="AK82">
        <v>2</v>
      </c>
      <c r="AL82">
        <v>91.91</v>
      </c>
      <c r="AO82" t="s">
        <v>1425</v>
      </c>
      <c r="AP82">
        <v>19604</v>
      </c>
      <c r="AR82" t="s">
        <v>9329</v>
      </c>
      <c r="AS82" t="s">
        <v>9336</v>
      </c>
      <c r="AT82" t="s">
        <v>9369</v>
      </c>
      <c r="AU82" t="s">
        <v>9379</v>
      </c>
      <c r="AV82">
        <v>1.5</v>
      </c>
      <c r="AW82" t="s">
        <v>50</v>
      </c>
    </row>
    <row r="83" spans="1:49">
      <c r="A83" s="1">
        <f>HYPERLINK("https://cms.ls-nyc.org/matter/dynamic-profile/view/1876819","18-1876819")</f>
        <v>0</v>
      </c>
      <c r="B83" t="s">
        <v>50</v>
      </c>
      <c r="C83" t="s">
        <v>82</v>
      </c>
      <c r="D83" t="s">
        <v>120</v>
      </c>
      <c r="E83" t="s">
        <v>181</v>
      </c>
      <c r="F83" t="s">
        <v>392</v>
      </c>
      <c r="G83" t="s">
        <v>1449</v>
      </c>
      <c r="H83" t="s">
        <v>2570</v>
      </c>
      <c r="I83" t="s">
        <v>3870</v>
      </c>
      <c r="J83" t="s">
        <v>4250</v>
      </c>
      <c r="K83">
        <v>11412</v>
      </c>
      <c r="L83" t="s">
        <v>4275</v>
      </c>
      <c r="M83" t="s">
        <v>4275</v>
      </c>
      <c r="O83" t="s">
        <v>4282</v>
      </c>
      <c r="P83" t="s">
        <v>4366</v>
      </c>
      <c r="Q83" t="s">
        <v>5732</v>
      </c>
      <c r="R83" t="s">
        <v>5753</v>
      </c>
      <c r="S83" t="s">
        <v>5759</v>
      </c>
      <c r="T83" t="s">
        <v>4276</v>
      </c>
      <c r="V83" t="s">
        <v>5767</v>
      </c>
      <c r="W83" t="s">
        <v>5772</v>
      </c>
      <c r="X83" t="s">
        <v>120</v>
      </c>
      <c r="Y83">
        <v>2050</v>
      </c>
      <c r="Z83" t="s">
        <v>5803</v>
      </c>
      <c r="AA83" t="s">
        <v>5807</v>
      </c>
      <c r="AB83" t="s">
        <v>5821</v>
      </c>
      <c r="AC83" t="s">
        <v>5911</v>
      </c>
      <c r="AD83" t="s">
        <v>7319</v>
      </c>
      <c r="AE83" t="s">
        <v>7921</v>
      </c>
      <c r="AF83">
        <v>4</v>
      </c>
      <c r="AG83" t="s">
        <v>9269</v>
      </c>
      <c r="AH83" t="s">
        <v>4280</v>
      </c>
      <c r="AI83">
        <v>5</v>
      </c>
      <c r="AJ83">
        <v>2</v>
      </c>
      <c r="AK83">
        <v>5</v>
      </c>
      <c r="AL83">
        <v>94.59</v>
      </c>
      <c r="AO83" t="s">
        <v>1425</v>
      </c>
      <c r="AP83">
        <v>36000</v>
      </c>
      <c r="AU83" t="s">
        <v>9403</v>
      </c>
      <c r="AV83">
        <v>1.1</v>
      </c>
      <c r="AW83" t="s">
        <v>73</v>
      </c>
    </row>
    <row r="84" spans="1:49">
      <c r="A84" s="1">
        <f>HYPERLINK("https://cms.ls-nyc.org/matter/dynamic-profile/view/1883098","18-1883098")</f>
        <v>0</v>
      </c>
      <c r="B84" t="s">
        <v>50</v>
      </c>
      <c r="C84" t="s">
        <v>82</v>
      </c>
      <c r="D84" t="s">
        <v>139</v>
      </c>
      <c r="E84" t="s">
        <v>99</v>
      </c>
      <c r="F84" t="s">
        <v>393</v>
      </c>
      <c r="G84" t="s">
        <v>1450</v>
      </c>
      <c r="H84" t="s">
        <v>2571</v>
      </c>
      <c r="I84" t="s">
        <v>3882</v>
      </c>
      <c r="J84" t="s">
        <v>4222</v>
      </c>
      <c r="K84">
        <v>11433</v>
      </c>
      <c r="L84" t="s">
        <v>4275</v>
      </c>
      <c r="M84" t="s">
        <v>4275</v>
      </c>
      <c r="O84" t="s">
        <v>4281</v>
      </c>
      <c r="P84" t="s">
        <v>4367</v>
      </c>
      <c r="Q84" t="s">
        <v>5731</v>
      </c>
      <c r="R84" t="s">
        <v>5751</v>
      </c>
      <c r="S84" t="s">
        <v>5758</v>
      </c>
      <c r="T84" t="s">
        <v>4276</v>
      </c>
      <c r="V84" t="s">
        <v>5767</v>
      </c>
      <c r="W84" t="s">
        <v>5772</v>
      </c>
      <c r="X84" t="s">
        <v>139</v>
      </c>
      <c r="Y84">
        <v>1850</v>
      </c>
      <c r="Z84" t="s">
        <v>5803</v>
      </c>
      <c r="AA84" t="s">
        <v>5805</v>
      </c>
      <c r="AB84" t="s">
        <v>5820</v>
      </c>
      <c r="AC84" t="s">
        <v>5912</v>
      </c>
      <c r="AD84" t="s">
        <v>7320</v>
      </c>
      <c r="AE84" t="s">
        <v>7922</v>
      </c>
      <c r="AF84">
        <v>2</v>
      </c>
      <c r="AG84" t="s">
        <v>9269</v>
      </c>
      <c r="AH84" t="s">
        <v>4280</v>
      </c>
      <c r="AI84">
        <v>-1</v>
      </c>
      <c r="AJ84">
        <v>2</v>
      </c>
      <c r="AK84">
        <v>2</v>
      </c>
      <c r="AL84">
        <v>102.79</v>
      </c>
      <c r="AP84">
        <v>25800</v>
      </c>
      <c r="AR84" t="s">
        <v>9327</v>
      </c>
      <c r="AS84" t="s">
        <v>5806</v>
      </c>
      <c r="AT84" t="s">
        <v>9369</v>
      </c>
      <c r="AU84" t="s">
        <v>9404</v>
      </c>
      <c r="AV84">
        <v>19</v>
      </c>
      <c r="AW84" t="s">
        <v>60</v>
      </c>
    </row>
    <row r="85" spans="1:49">
      <c r="A85" s="1">
        <f>HYPERLINK("https://cms.ls-nyc.org/matter/dynamic-profile/view/1874526","18-1874526")</f>
        <v>0</v>
      </c>
      <c r="B85" t="s">
        <v>50</v>
      </c>
      <c r="C85" t="s">
        <v>83</v>
      </c>
      <c r="D85" t="s">
        <v>103</v>
      </c>
      <c r="F85" t="s">
        <v>368</v>
      </c>
      <c r="G85" t="s">
        <v>1451</v>
      </c>
      <c r="H85" t="s">
        <v>2572</v>
      </c>
      <c r="I85" t="s">
        <v>3883</v>
      </c>
      <c r="J85" t="s">
        <v>4222</v>
      </c>
      <c r="K85">
        <v>11432</v>
      </c>
      <c r="L85" t="s">
        <v>4275</v>
      </c>
      <c r="M85" t="s">
        <v>4277</v>
      </c>
      <c r="O85" t="s">
        <v>4282</v>
      </c>
      <c r="P85" t="s">
        <v>4368</v>
      </c>
      <c r="Q85" t="s">
        <v>5736</v>
      </c>
      <c r="R85" t="s">
        <v>5751</v>
      </c>
      <c r="T85" t="s">
        <v>4276</v>
      </c>
      <c r="V85" t="s">
        <v>5767</v>
      </c>
      <c r="Y85">
        <v>1300</v>
      </c>
      <c r="Z85" t="s">
        <v>5803</v>
      </c>
      <c r="AA85" t="s">
        <v>5807</v>
      </c>
      <c r="AC85" t="s">
        <v>5913</v>
      </c>
      <c r="AE85" t="s">
        <v>7923</v>
      </c>
      <c r="AF85">
        <v>190</v>
      </c>
      <c r="AG85" t="s">
        <v>9272</v>
      </c>
      <c r="AH85" t="s">
        <v>4280</v>
      </c>
      <c r="AI85">
        <v>4</v>
      </c>
      <c r="AJ85">
        <v>2</v>
      </c>
      <c r="AK85">
        <v>0</v>
      </c>
      <c r="AL85">
        <v>109.36</v>
      </c>
      <c r="AO85" t="s">
        <v>9301</v>
      </c>
      <c r="AP85">
        <v>18000</v>
      </c>
      <c r="AV85">
        <v>91.2</v>
      </c>
      <c r="AW85" t="s">
        <v>54</v>
      </c>
    </row>
    <row r="86" spans="1:49">
      <c r="A86" s="1">
        <f>HYPERLINK("https://cms.ls-nyc.org/matter/dynamic-profile/view/1881265","18-1881265")</f>
        <v>0</v>
      </c>
      <c r="B86" t="s">
        <v>50</v>
      </c>
      <c r="C86" t="s">
        <v>83</v>
      </c>
      <c r="D86" t="s">
        <v>140</v>
      </c>
      <c r="F86" t="s">
        <v>394</v>
      </c>
      <c r="G86" t="s">
        <v>1452</v>
      </c>
      <c r="H86" t="s">
        <v>2573</v>
      </c>
      <c r="I86" t="s">
        <v>3884</v>
      </c>
      <c r="J86" t="s">
        <v>4222</v>
      </c>
      <c r="K86">
        <v>11433</v>
      </c>
      <c r="L86" t="s">
        <v>4275</v>
      </c>
      <c r="M86" t="s">
        <v>4275</v>
      </c>
      <c r="O86" t="s">
        <v>4281</v>
      </c>
      <c r="P86" t="s">
        <v>4369</v>
      </c>
      <c r="Q86" t="s">
        <v>5731</v>
      </c>
      <c r="R86" t="s">
        <v>5753</v>
      </c>
      <c r="T86" t="s">
        <v>4276</v>
      </c>
      <c r="V86" t="s">
        <v>5767</v>
      </c>
      <c r="W86" t="s">
        <v>5773</v>
      </c>
      <c r="X86" t="s">
        <v>140</v>
      </c>
      <c r="Y86">
        <v>549</v>
      </c>
      <c r="Z86" t="s">
        <v>5803</v>
      </c>
      <c r="AA86" t="s">
        <v>5804</v>
      </c>
      <c r="AC86" t="s">
        <v>5914</v>
      </c>
      <c r="AD86" t="s">
        <v>4700</v>
      </c>
      <c r="AE86" t="s">
        <v>7924</v>
      </c>
      <c r="AF86">
        <v>148</v>
      </c>
      <c r="AG86" t="s">
        <v>9271</v>
      </c>
      <c r="AH86" t="s">
        <v>4280</v>
      </c>
      <c r="AI86">
        <v>5</v>
      </c>
      <c r="AJ86">
        <v>2</v>
      </c>
      <c r="AK86">
        <v>3</v>
      </c>
      <c r="AL86">
        <v>111.57</v>
      </c>
      <c r="AO86" t="s">
        <v>1425</v>
      </c>
      <c r="AP86">
        <v>32824</v>
      </c>
      <c r="AT86" t="s">
        <v>9369</v>
      </c>
      <c r="AU86" t="s">
        <v>9405</v>
      </c>
      <c r="AV86">
        <v>1.35</v>
      </c>
      <c r="AW86" t="s">
        <v>74</v>
      </c>
    </row>
    <row r="87" spans="1:49">
      <c r="A87" s="1">
        <f>HYPERLINK("https://cms.ls-nyc.org/matter/dynamic-profile/view/1888319","19-1888319")</f>
        <v>0</v>
      </c>
      <c r="B87" t="s">
        <v>50</v>
      </c>
      <c r="C87" t="s">
        <v>82</v>
      </c>
      <c r="D87" t="s">
        <v>135</v>
      </c>
      <c r="E87" t="s">
        <v>288</v>
      </c>
      <c r="F87" t="s">
        <v>395</v>
      </c>
      <c r="G87" t="s">
        <v>1453</v>
      </c>
      <c r="H87" t="s">
        <v>2574</v>
      </c>
      <c r="I87" t="s">
        <v>3850</v>
      </c>
      <c r="J87" t="s">
        <v>4251</v>
      </c>
      <c r="K87">
        <v>11377</v>
      </c>
      <c r="L87" t="s">
        <v>4275</v>
      </c>
      <c r="M87" t="s">
        <v>4275</v>
      </c>
      <c r="N87" t="s">
        <v>4278</v>
      </c>
      <c r="O87" t="s">
        <v>4282</v>
      </c>
      <c r="P87" t="s">
        <v>4370</v>
      </c>
      <c r="Q87" t="s">
        <v>5731</v>
      </c>
      <c r="R87" t="s">
        <v>5753</v>
      </c>
      <c r="S87" t="s">
        <v>5759</v>
      </c>
      <c r="T87" t="s">
        <v>4276</v>
      </c>
      <c r="V87" t="s">
        <v>5767</v>
      </c>
      <c r="W87" t="s">
        <v>5772</v>
      </c>
      <c r="X87" t="s">
        <v>135</v>
      </c>
      <c r="Y87">
        <v>1094</v>
      </c>
      <c r="Z87" t="s">
        <v>5803</v>
      </c>
      <c r="AA87" t="s">
        <v>5804</v>
      </c>
      <c r="AB87" t="s">
        <v>5821</v>
      </c>
      <c r="AC87" t="s">
        <v>5915</v>
      </c>
      <c r="AD87" t="s">
        <v>7321</v>
      </c>
      <c r="AE87" t="s">
        <v>7925</v>
      </c>
      <c r="AF87">
        <v>24</v>
      </c>
      <c r="AG87" t="s">
        <v>9271</v>
      </c>
      <c r="AI87">
        <v>17</v>
      </c>
      <c r="AJ87">
        <v>2</v>
      </c>
      <c r="AK87">
        <v>4</v>
      </c>
      <c r="AL87">
        <v>112.63</v>
      </c>
      <c r="AO87" t="s">
        <v>1425</v>
      </c>
      <c r="AP87">
        <v>38000</v>
      </c>
      <c r="AU87" t="s">
        <v>9396</v>
      </c>
      <c r="AV87">
        <v>0.8</v>
      </c>
      <c r="AW87" t="s">
        <v>74</v>
      </c>
    </row>
    <row r="88" spans="1:49">
      <c r="A88" s="1">
        <f>HYPERLINK("https://cms.ls-nyc.org/matter/dynamic-profile/view/1898529","19-1898529")</f>
        <v>0</v>
      </c>
      <c r="B88" t="s">
        <v>50</v>
      </c>
      <c r="C88" t="s">
        <v>83</v>
      </c>
      <c r="D88" t="s">
        <v>141</v>
      </c>
      <c r="F88" t="s">
        <v>396</v>
      </c>
      <c r="G88" t="s">
        <v>1454</v>
      </c>
      <c r="H88" t="s">
        <v>2575</v>
      </c>
      <c r="I88" t="s">
        <v>3885</v>
      </c>
      <c r="J88" t="s">
        <v>4233</v>
      </c>
      <c r="K88">
        <v>11375</v>
      </c>
      <c r="L88" t="s">
        <v>4275</v>
      </c>
      <c r="M88" t="s">
        <v>4275</v>
      </c>
      <c r="O88" t="s">
        <v>4282</v>
      </c>
      <c r="P88" t="s">
        <v>4371</v>
      </c>
      <c r="Q88" t="s">
        <v>5732</v>
      </c>
      <c r="R88" t="s">
        <v>5752</v>
      </c>
      <c r="T88" t="s">
        <v>4276</v>
      </c>
      <c r="V88" t="s">
        <v>5767</v>
      </c>
      <c r="X88" t="s">
        <v>141</v>
      </c>
      <c r="Y88">
        <v>1172.65</v>
      </c>
      <c r="Z88" t="s">
        <v>5803</v>
      </c>
      <c r="AA88" t="s">
        <v>5804</v>
      </c>
      <c r="AC88" t="s">
        <v>5916</v>
      </c>
      <c r="AE88" t="s">
        <v>7926</v>
      </c>
      <c r="AF88">
        <v>70</v>
      </c>
      <c r="AG88" t="s">
        <v>9274</v>
      </c>
      <c r="AH88" t="s">
        <v>4280</v>
      </c>
      <c r="AI88">
        <v>16</v>
      </c>
      <c r="AJ88">
        <v>1</v>
      </c>
      <c r="AK88">
        <v>3</v>
      </c>
      <c r="AL88">
        <v>120.84</v>
      </c>
      <c r="AO88" t="s">
        <v>2048</v>
      </c>
      <c r="AP88">
        <v>31116</v>
      </c>
      <c r="AV88">
        <v>2.3</v>
      </c>
      <c r="AW88" t="s">
        <v>54</v>
      </c>
    </row>
    <row r="89" spans="1:49">
      <c r="A89" s="1">
        <f>HYPERLINK("https://cms.ls-nyc.org/matter/dynamic-profile/view/1873172","18-1873172")</f>
        <v>0</v>
      </c>
      <c r="B89" t="s">
        <v>50</v>
      </c>
      <c r="C89" t="s">
        <v>82</v>
      </c>
      <c r="D89" t="s">
        <v>133</v>
      </c>
      <c r="E89" t="s">
        <v>242</v>
      </c>
      <c r="F89" t="s">
        <v>397</v>
      </c>
      <c r="G89" t="s">
        <v>1455</v>
      </c>
      <c r="H89" t="s">
        <v>2576</v>
      </c>
      <c r="I89" t="s">
        <v>3886</v>
      </c>
      <c r="J89" t="s">
        <v>4252</v>
      </c>
      <c r="K89">
        <v>11374</v>
      </c>
      <c r="L89" t="s">
        <v>4275</v>
      </c>
      <c r="M89" t="s">
        <v>4275</v>
      </c>
      <c r="O89" t="s">
        <v>4282</v>
      </c>
      <c r="P89" t="s">
        <v>4372</v>
      </c>
      <c r="Q89" t="s">
        <v>5731</v>
      </c>
      <c r="R89" t="s">
        <v>5753</v>
      </c>
      <c r="S89" t="s">
        <v>5759</v>
      </c>
      <c r="T89" t="s">
        <v>4276</v>
      </c>
      <c r="V89" t="s">
        <v>5767</v>
      </c>
      <c r="W89" t="s">
        <v>5771</v>
      </c>
      <c r="X89" t="s">
        <v>133</v>
      </c>
      <c r="Y89">
        <v>1633.87</v>
      </c>
      <c r="Z89" t="s">
        <v>5803</v>
      </c>
      <c r="AA89" t="s">
        <v>5804</v>
      </c>
      <c r="AB89" t="s">
        <v>5821</v>
      </c>
      <c r="AC89" t="s">
        <v>5917</v>
      </c>
      <c r="AD89" t="s">
        <v>4700</v>
      </c>
      <c r="AE89" t="s">
        <v>7927</v>
      </c>
      <c r="AF89">
        <v>25</v>
      </c>
      <c r="AG89" t="s">
        <v>9272</v>
      </c>
      <c r="AH89" t="s">
        <v>4280</v>
      </c>
      <c r="AI89">
        <v>5</v>
      </c>
      <c r="AJ89">
        <v>3</v>
      </c>
      <c r="AK89">
        <v>1</v>
      </c>
      <c r="AL89">
        <v>124.3</v>
      </c>
      <c r="AN89" t="s">
        <v>9294</v>
      </c>
      <c r="AO89" t="s">
        <v>1425</v>
      </c>
      <c r="AP89">
        <v>31200</v>
      </c>
      <c r="AV89">
        <v>0.6</v>
      </c>
      <c r="AW89" t="s">
        <v>54</v>
      </c>
    </row>
    <row r="90" spans="1:49">
      <c r="A90" s="1">
        <f>HYPERLINK("https://cms.ls-nyc.org/matter/dynamic-profile/view/1884558","18-1884558")</f>
        <v>0</v>
      </c>
      <c r="B90" t="s">
        <v>50</v>
      </c>
      <c r="C90" t="s">
        <v>82</v>
      </c>
      <c r="D90" t="s">
        <v>142</v>
      </c>
      <c r="E90" t="s">
        <v>189</v>
      </c>
      <c r="F90" t="s">
        <v>398</v>
      </c>
      <c r="G90" t="s">
        <v>1456</v>
      </c>
      <c r="H90" t="s">
        <v>2577</v>
      </c>
      <c r="I90" t="s">
        <v>3887</v>
      </c>
      <c r="J90" t="s">
        <v>4222</v>
      </c>
      <c r="K90">
        <v>11434</v>
      </c>
      <c r="L90" t="s">
        <v>4275</v>
      </c>
      <c r="M90" t="s">
        <v>4275</v>
      </c>
      <c r="O90" t="s">
        <v>4281</v>
      </c>
      <c r="P90" t="s">
        <v>4373</v>
      </c>
      <c r="Q90" t="s">
        <v>5731</v>
      </c>
      <c r="R90" t="s">
        <v>5751</v>
      </c>
      <c r="S90" t="s">
        <v>5758</v>
      </c>
      <c r="T90" t="s">
        <v>4276</v>
      </c>
      <c r="V90" t="s">
        <v>5768</v>
      </c>
      <c r="W90" t="s">
        <v>5771</v>
      </c>
      <c r="X90" t="s">
        <v>142</v>
      </c>
      <c r="Y90">
        <v>1072</v>
      </c>
      <c r="Z90" t="s">
        <v>5803</v>
      </c>
      <c r="AA90" t="s">
        <v>5805</v>
      </c>
      <c r="AB90" t="s">
        <v>5823</v>
      </c>
      <c r="AC90" t="s">
        <v>5918</v>
      </c>
      <c r="AD90" t="s">
        <v>7322</v>
      </c>
      <c r="AE90" t="s">
        <v>7928</v>
      </c>
      <c r="AF90">
        <v>602</v>
      </c>
      <c r="AG90" t="s">
        <v>9271</v>
      </c>
      <c r="AH90" t="s">
        <v>4280</v>
      </c>
      <c r="AI90">
        <v>16</v>
      </c>
      <c r="AJ90">
        <v>3</v>
      </c>
      <c r="AK90">
        <v>0</v>
      </c>
      <c r="AL90">
        <v>126.99</v>
      </c>
      <c r="AO90" t="s">
        <v>1425</v>
      </c>
      <c r="AP90">
        <v>26388</v>
      </c>
      <c r="AR90" t="s">
        <v>9326</v>
      </c>
      <c r="AS90" t="s">
        <v>9336</v>
      </c>
      <c r="AT90" t="s">
        <v>9369</v>
      </c>
      <c r="AU90" t="s">
        <v>9406</v>
      </c>
      <c r="AV90">
        <v>8.949999999999999</v>
      </c>
      <c r="AW90" t="s">
        <v>54</v>
      </c>
    </row>
    <row r="91" spans="1:49">
      <c r="A91" s="1">
        <f>HYPERLINK("https://cms.ls-nyc.org/matter/dynamic-profile/view/1872636","18-1872636")</f>
        <v>0</v>
      </c>
      <c r="B91" t="s">
        <v>50</v>
      </c>
      <c r="C91" t="s">
        <v>82</v>
      </c>
      <c r="D91" t="s">
        <v>143</v>
      </c>
      <c r="E91" t="s">
        <v>265</v>
      </c>
      <c r="F91" t="s">
        <v>399</v>
      </c>
      <c r="G91" t="s">
        <v>1457</v>
      </c>
      <c r="H91" t="s">
        <v>2578</v>
      </c>
      <c r="I91" t="s">
        <v>3888</v>
      </c>
      <c r="J91" t="s">
        <v>4222</v>
      </c>
      <c r="K91">
        <v>11434</v>
      </c>
      <c r="L91" t="s">
        <v>4275</v>
      </c>
      <c r="M91" t="s">
        <v>4275</v>
      </c>
      <c r="O91" t="s">
        <v>4281</v>
      </c>
      <c r="P91" t="s">
        <v>4374</v>
      </c>
      <c r="Q91" t="s">
        <v>5731</v>
      </c>
      <c r="R91" t="s">
        <v>5753</v>
      </c>
      <c r="S91" t="s">
        <v>5759</v>
      </c>
      <c r="T91" t="s">
        <v>4276</v>
      </c>
      <c r="V91" t="s">
        <v>5767</v>
      </c>
      <c r="W91" t="s">
        <v>5771</v>
      </c>
      <c r="X91" t="s">
        <v>143</v>
      </c>
      <c r="Y91">
        <v>1291</v>
      </c>
      <c r="Z91" t="s">
        <v>5803</v>
      </c>
      <c r="AA91" t="s">
        <v>5804</v>
      </c>
      <c r="AB91" t="s">
        <v>5821</v>
      </c>
      <c r="AC91" t="s">
        <v>5919</v>
      </c>
      <c r="AD91" t="s">
        <v>7323</v>
      </c>
      <c r="AE91" t="s">
        <v>7929</v>
      </c>
      <c r="AF91">
        <v>59</v>
      </c>
      <c r="AG91" t="s">
        <v>9272</v>
      </c>
      <c r="AH91" t="s">
        <v>9282</v>
      </c>
      <c r="AI91">
        <v>9</v>
      </c>
      <c r="AJ91">
        <v>2</v>
      </c>
      <c r="AK91">
        <v>0</v>
      </c>
      <c r="AL91">
        <v>127.58</v>
      </c>
      <c r="AO91" t="s">
        <v>1425</v>
      </c>
      <c r="AP91">
        <v>21000</v>
      </c>
      <c r="AR91" t="s">
        <v>9327</v>
      </c>
      <c r="AS91" t="s">
        <v>5806</v>
      </c>
      <c r="AT91" t="s">
        <v>9369</v>
      </c>
      <c r="AU91" t="s">
        <v>9395</v>
      </c>
      <c r="AV91">
        <v>3.2</v>
      </c>
      <c r="AW91" t="s">
        <v>73</v>
      </c>
    </row>
    <row r="92" spans="1:49">
      <c r="A92" s="1">
        <f>HYPERLINK("https://cms.ls-nyc.org/matter/dynamic-profile/view/1883113","18-1883113")</f>
        <v>0</v>
      </c>
      <c r="B92" t="s">
        <v>50</v>
      </c>
      <c r="C92" t="s">
        <v>82</v>
      </c>
      <c r="D92" t="s">
        <v>139</v>
      </c>
      <c r="E92" t="s">
        <v>216</v>
      </c>
      <c r="F92" t="s">
        <v>400</v>
      </c>
      <c r="G92" t="s">
        <v>1458</v>
      </c>
      <c r="H92" t="s">
        <v>2579</v>
      </c>
      <c r="I92" t="s">
        <v>3864</v>
      </c>
      <c r="J92" t="s">
        <v>4222</v>
      </c>
      <c r="K92">
        <v>11434</v>
      </c>
      <c r="L92" t="s">
        <v>4275</v>
      </c>
      <c r="M92" t="s">
        <v>4275</v>
      </c>
      <c r="N92" t="s">
        <v>4278</v>
      </c>
      <c r="O92" t="s">
        <v>4281</v>
      </c>
      <c r="P92" t="s">
        <v>4375</v>
      </c>
      <c r="Q92" t="s">
        <v>5732</v>
      </c>
      <c r="R92" t="s">
        <v>5751</v>
      </c>
      <c r="S92" t="s">
        <v>5758</v>
      </c>
      <c r="T92" t="s">
        <v>4276</v>
      </c>
      <c r="V92" t="s">
        <v>5767</v>
      </c>
      <c r="W92" t="s">
        <v>5772</v>
      </c>
      <c r="X92" t="s">
        <v>139</v>
      </c>
      <c r="Y92">
        <v>1350</v>
      </c>
      <c r="Z92" t="s">
        <v>5803</v>
      </c>
      <c r="AA92" t="s">
        <v>5805</v>
      </c>
      <c r="AB92" t="s">
        <v>5822</v>
      </c>
      <c r="AC92" t="s">
        <v>5920</v>
      </c>
      <c r="AD92" t="s">
        <v>7324</v>
      </c>
      <c r="AE92" t="s">
        <v>7930</v>
      </c>
      <c r="AF92">
        <v>2</v>
      </c>
      <c r="AG92" t="s">
        <v>9269</v>
      </c>
      <c r="AH92" t="s">
        <v>9285</v>
      </c>
      <c r="AI92">
        <v>3</v>
      </c>
      <c r="AJ92">
        <v>1</v>
      </c>
      <c r="AK92">
        <v>0</v>
      </c>
      <c r="AL92">
        <v>132.45</v>
      </c>
      <c r="AO92" t="s">
        <v>1425</v>
      </c>
      <c r="AP92">
        <v>16080</v>
      </c>
      <c r="AR92" t="s">
        <v>9326</v>
      </c>
      <c r="AS92" t="s">
        <v>5806</v>
      </c>
      <c r="AT92" t="s">
        <v>9370</v>
      </c>
      <c r="AU92" t="s">
        <v>9384</v>
      </c>
      <c r="AV92">
        <v>5.7</v>
      </c>
      <c r="AW92" t="s">
        <v>50</v>
      </c>
    </row>
    <row r="93" spans="1:49">
      <c r="A93" s="1">
        <f>HYPERLINK("https://cms.ls-nyc.org/matter/dynamic-profile/view/1888200","19-1888200")</f>
        <v>0</v>
      </c>
      <c r="B93" t="s">
        <v>50</v>
      </c>
      <c r="C93" t="s">
        <v>83</v>
      </c>
      <c r="D93" t="s">
        <v>144</v>
      </c>
      <c r="F93" t="s">
        <v>401</v>
      </c>
      <c r="G93" t="s">
        <v>1459</v>
      </c>
      <c r="H93" t="s">
        <v>2580</v>
      </c>
      <c r="I93" t="s">
        <v>3889</v>
      </c>
      <c r="J93" t="s">
        <v>4240</v>
      </c>
      <c r="K93">
        <v>11373</v>
      </c>
      <c r="L93" t="s">
        <v>4275</v>
      </c>
      <c r="M93" t="s">
        <v>4275</v>
      </c>
      <c r="O93" t="s">
        <v>4281</v>
      </c>
      <c r="P93" t="s">
        <v>4376</v>
      </c>
      <c r="Q93" t="s">
        <v>5731</v>
      </c>
      <c r="R93" t="s">
        <v>5751</v>
      </c>
      <c r="T93" t="s">
        <v>4275</v>
      </c>
      <c r="V93" t="s">
        <v>5767</v>
      </c>
      <c r="W93" t="s">
        <v>5772</v>
      </c>
      <c r="Y93">
        <v>1700</v>
      </c>
      <c r="Z93" t="s">
        <v>5803</v>
      </c>
      <c r="AA93" t="s">
        <v>5805</v>
      </c>
      <c r="AC93" t="s">
        <v>5921</v>
      </c>
      <c r="AE93" t="s">
        <v>7931</v>
      </c>
      <c r="AF93">
        <v>0</v>
      </c>
      <c r="AG93" t="s">
        <v>9272</v>
      </c>
      <c r="AI93">
        <v>1</v>
      </c>
      <c r="AJ93">
        <v>2</v>
      </c>
      <c r="AK93">
        <v>1</v>
      </c>
      <c r="AL93">
        <v>135.42</v>
      </c>
      <c r="AO93" t="s">
        <v>1425</v>
      </c>
      <c r="AP93">
        <v>28140</v>
      </c>
      <c r="AV93">
        <v>9.9</v>
      </c>
      <c r="AW93" t="s">
        <v>60</v>
      </c>
    </row>
    <row r="94" spans="1:49">
      <c r="A94" s="1">
        <f>HYPERLINK("https://cms.ls-nyc.org/matter/dynamic-profile/view/1889746","19-1889746")</f>
        <v>0</v>
      </c>
      <c r="B94" t="s">
        <v>50</v>
      </c>
      <c r="C94" t="s">
        <v>82</v>
      </c>
      <c r="D94" t="s">
        <v>100</v>
      </c>
      <c r="E94" t="s">
        <v>109</v>
      </c>
      <c r="F94" t="s">
        <v>402</v>
      </c>
      <c r="G94" t="s">
        <v>1460</v>
      </c>
      <c r="H94" t="s">
        <v>2581</v>
      </c>
      <c r="I94" t="s">
        <v>3861</v>
      </c>
      <c r="J94" t="s">
        <v>4222</v>
      </c>
      <c r="K94">
        <v>11434</v>
      </c>
      <c r="L94" t="s">
        <v>4275</v>
      </c>
      <c r="M94" t="s">
        <v>4275</v>
      </c>
      <c r="O94" t="s">
        <v>4281</v>
      </c>
      <c r="P94" t="s">
        <v>4377</v>
      </c>
      <c r="Q94" t="s">
        <v>5731</v>
      </c>
      <c r="R94" t="s">
        <v>5751</v>
      </c>
      <c r="S94" t="s">
        <v>5758</v>
      </c>
      <c r="T94" t="s">
        <v>4276</v>
      </c>
      <c r="V94" t="s">
        <v>5768</v>
      </c>
      <c r="W94" t="s">
        <v>5772</v>
      </c>
      <c r="X94" t="s">
        <v>100</v>
      </c>
      <c r="Y94">
        <v>921</v>
      </c>
      <c r="Z94" t="s">
        <v>5803</v>
      </c>
      <c r="AA94" t="s">
        <v>5805</v>
      </c>
      <c r="AB94" t="s">
        <v>5823</v>
      </c>
      <c r="AC94" t="s">
        <v>5922</v>
      </c>
      <c r="AE94" t="s">
        <v>7289</v>
      </c>
      <c r="AF94">
        <v>231</v>
      </c>
      <c r="AG94" t="s">
        <v>9271</v>
      </c>
      <c r="AH94" t="s">
        <v>4280</v>
      </c>
      <c r="AI94">
        <v>24</v>
      </c>
      <c r="AJ94">
        <v>2</v>
      </c>
      <c r="AK94">
        <v>2</v>
      </c>
      <c r="AL94">
        <v>139.81</v>
      </c>
      <c r="AO94" t="s">
        <v>1425</v>
      </c>
      <c r="AP94">
        <v>36000</v>
      </c>
      <c r="AS94" t="s">
        <v>9336</v>
      </c>
      <c r="AT94" t="s">
        <v>9369</v>
      </c>
      <c r="AU94" t="s">
        <v>9407</v>
      </c>
      <c r="AV94">
        <v>0.75</v>
      </c>
      <c r="AW94" t="s">
        <v>54</v>
      </c>
    </row>
    <row r="95" spans="1:49">
      <c r="A95" s="1">
        <f>HYPERLINK("https://cms.ls-nyc.org/matter/dynamic-profile/view/1883338","18-1883338")</f>
        <v>0</v>
      </c>
      <c r="B95" t="s">
        <v>50</v>
      </c>
      <c r="C95" t="s">
        <v>83</v>
      </c>
      <c r="D95" t="s">
        <v>145</v>
      </c>
      <c r="F95" t="s">
        <v>403</v>
      </c>
      <c r="G95" t="s">
        <v>1461</v>
      </c>
      <c r="H95" t="s">
        <v>2582</v>
      </c>
      <c r="I95" t="s">
        <v>3841</v>
      </c>
      <c r="J95" t="s">
        <v>4243</v>
      </c>
      <c r="K95">
        <v>11693</v>
      </c>
      <c r="L95" t="s">
        <v>4275</v>
      </c>
      <c r="M95" t="s">
        <v>4275</v>
      </c>
      <c r="N95" t="s">
        <v>4278</v>
      </c>
      <c r="O95" t="s">
        <v>4282</v>
      </c>
      <c r="P95" t="s">
        <v>4378</v>
      </c>
      <c r="Q95" t="s">
        <v>5731</v>
      </c>
      <c r="R95" t="s">
        <v>5754</v>
      </c>
      <c r="T95" t="s">
        <v>4276</v>
      </c>
      <c r="V95" t="s">
        <v>5767</v>
      </c>
      <c r="W95" t="s">
        <v>5774</v>
      </c>
      <c r="X95" t="s">
        <v>145</v>
      </c>
      <c r="Y95">
        <v>1600</v>
      </c>
      <c r="Z95" t="s">
        <v>5803</v>
      </c>
      <c r="AA95" t="s">
        <v>5804</v>
      </c>
      <c r="AC95" t="s">
        <v>5923</v>
      </c>
      <c r="AD95" t="s">
        <v>7325</v>
      </c>
      <c r="AE95" t="s">
        <v>7932</v>
      </c>
      <c r="AF95">
        <v>2</v>
      </c>
      <c r="AG95" t="s">
        <v>9270</v>
      </c>
      <c r="AH95" t="s">
        <v>4280</v>
      </c>
      <c r="AI95">
        <v>5</v>
      </c>
      <c r="AJ95">
        <v>2</v>
      </c>
      <c r="AK95">
        <v>3</v>
      </c>
      <c r="AL95">
        <v>142.5</v>
      </c>
      <c r="AO95" t="s">
        <v>1425</v>
      </c>
      <c r="AP95">
        <v>41924</v>
      </c>
      <c r="AR95" t="s">
        <v>9327</v>
      </c>
      <c r="AS95" t="s">
        <v>5806</v>
      </c>
      <c r="AT95" t="s">
        <v>9369</v>
      </c>
      <c r="AU95" t="s">
        <v>9408</v>
      </c>
      <c r="AV95">
        <v>9.15</v>
      </c>
      <c r="AW95" t="s">
        <v>54</v>
      </c>
    </row>
    <row r="96" spans="1:49">
      <c r="A96" s="1">
        <f>HYPERLINK("https://cms.ls-nyc.org/matter/dynamic-profile/view/1879867","18-1879867")</f>
        <v>0</v>
      </c>
      <c r="B96" t="s">
        <v>50</v>
      </c>
      <c r="C96" t="s">
        <v>82</v>
      </c>
      <c r="D96" t="s">
        <v>92</v>
      </c>
      <c r="E96" t="s">
        <v>187</v>
      </c>
      <c r="F96" t="s">
        <v>404</v>
      </c>
      <c r="G96" t="s">
        <v>1462</v>
      </c>
      <c r="H96" t="s">
        <v>2583</v>
      </c>
      <c r="I96" t="s">
        <v>3890</v>
      </c>
      <c r="J96" t="s">
        <v>4225</v>
      </c>
      <c r="K96">
        <v>11385</v>
      </c>
      <c r="L96" t="s">
        <v>4275</v>
      </c>
      <c r="M96" t="s">
        <v>4275</v>
      </c>
      <c r="O96" t="s">
        <v>4281</v>
      </c>
      <c r="P96" t="s">
        <v>4379</v>
      </c>
      <c r="Q96" t="s">
        <v>5732</v>
      </c>
      <c r="R96" t="s">
        <v>5751</v>
      </c>
      <c r="S96" t="s">
        <v>5758</v>
      </c>
      <c r="T96" t="s">
        <v>4276</v>
      </c>
      <c r="V96" t="s">
        <v>5767</v>
      </c>
      <c r="W96" t="s">
        <v>5771</v>
      </c>
      <c r="X96" t="s">
        <v>92</v>
      </c>
      <c r="Y96">
        <v>1850</v>
      </c>
      <c r="Z96" t="s">
        <v>5803</v>
      </c>
      <c r="AA96" t="s">
        <v>5804</v>
      </c>
      <c r="AB96" t="s">
        <v>5820</v>
      </c>
      <c r="AC96" t="s">
        <v>5924</v>
      </c>
      <c r="AD96" t="s">
        <v>7326</v>
      </c>
      <c r="AE96" t="s">
        <v>7933</v>
      </c>
      <c r="AF96">
        <v>6</v>
      </c>
      <c r="AG96" t="s">
        <v>9270</v>
      </c>
      <c r="AH96" t="s">
        <v>4280</v>
      </c>
      <c r="AI96">
        <v>6</v>
      </c>
      <c r="AJ96">
        <v>1</v>
      </c>
      <c r="AK96">
        <v>2</v>
      </c>
      <c r="AL96">
        <v>154.96</v>
      </c>
      <c r="AO96" t="s">
        <v>1425</v>
      </c>
      <c r="AP96">
        <v>32200</v>
      </c>
      <c r="AR96" t="s">
        <v>9326</v>
      </c>
      <c r="AS96" t="s">
        <v>5806</v>
      </c>
      <c r="AT96" t="s">
        <v>9369</v>
      </c>
      <c r="AU96" t="s">
        <v>9409</v>
      </c>
      <c r="AV96">
        <v>6.08</v>
      </c>
      <c r="AW96" t="s">
        <v>54</v>
      </c>
    </row>
    <row r="97" spans="1:49">
      <c r="A97" s="1">
        <f>HYPERLINK("https://cms.ls-nyc.org/matter/dynamic-profile/view/1878507","18-1878507")</f>
        <v>0</v>
      </c>
      <c r="B97" t="s">
        <v>50</v>
      </c>
      <c r="C97" t="s">
        <v>82</v>
      </c>
      <c r="D97" t="s">
        <v>146</v>
      </c>
      <c r="E97" t="s">
        <v>288</v>
      </c>
      <c r="F97" t="s">
        <v>405</v>
      </c>
      <c r="G97" t="s">
        <v>1463</v>
      </c>
      <c r="H97" t="s">
        <v>2584</v>
      </c>
      <c r="I97" t="s">
        <v>3864</v>
      </c>
      <c r="J97" t="s">
        <v>4222</v>
      </c>
      <c r="K97">
        <v>11434</v>
      </c>
      <c r="L97" t="s">
        <v>4275</v>
      </c>
      <c r="M97" t="s">
        <v>4275</v>
      </c>
      <c r="O97" t="s">
        <v>4281</v>
      </c>
      <c r="P97" t="s">
        <v>4380</v>
      </c>
      <c r="Q97" t="s">
        <v>5732</v>
      </c>
      <c r="R97" t="s">
        <v>5751</v>
      </c>
      <c r="S97" t="s">
        <v>5758</v>
      </c>
      <c r="T97" t="s">
        <v>4276</v>
      </c>
      <c r="V97" t="s">
        <v>5767</v>
      </c>
      <c r="W97" t="s">
        <v>5772</v>
      </c>
      <c r="X97" t="s">
        <v>188</v>
      </c>
      <c r="Y97">
        <v>1525</v>
      </c>
      <c r="Z97" t="s">
        <v>5803</v>
      </c>
      <c r="AA97" t="s">
        <v>5805</v>
      </c>
      <c r="AB97" t="s">
        <v>5820</v>
      </c>
      <c r="AC97" t="s">
        <v>5925</v>
      </c>
      <c r="AD97" t="s">
        <v>4700</v>
      </c>
      <c r="AE97" t="s">
        <v>7934</v>
      </c>
      <c r="AF97">
        <v>1</v>
      </c>
      <c r="AG97" t="s">
        <v>9269</v>
      </c>
      <c r="AH97" t="s">
        <v>4280</v>
      </c>
      <c r="AI97">
        <v>4</v>
      </c>
      <c r="AJ97">
        <v>4</v>
      </c>
      <c r="AK97">
        <v>0</v>
      </c>
      <c r="AL97">
        <v>167.33</v>
      </c>
      <c r="AO97" t="s">
        <v>1425</v>
      </c>
      <c r="AP97">
        <v>42000</v>
      </c>
      <c r="AR97" t="s">
        <v>9326</v>
      </c>
      <c r="AS97" t="s">
        <v>5806</v>
      </c>
      <c r="AT97" t="s">
        <v>9370</v>
      </c>
      <c r="AU97" t="s">
        <v>9385</v>
      </c>
      <c r="AV97">
        <v>7.1</v>
      </c>
      <c r="AW97" t="s">
        <v>50</v>
      </c>
    </row>
    <row r="98" spans="1:49">
      <c r="A98" s="1">
        <f>HYPERLINK("https://cms.ls-nyc.org/matter/dynamic-profile/view/1878001","18-1878001")</f>
        <v>0</v>
      </c>
      <c r="B98" t="s">
        <v>50</v>
      </c>
      <c r="C98" t="s">
        <v>82</v>
      </c>
      <c r="D98" t="s">
        <v>126</v>
      </c>
      <c r="E98" t="s">
        <v>196</v>
      </c>
      <c r="F98" t="s">
        <v>406</v>
      </c>
      <c r="G98" t="s">
        <v>1464</v>
      </c>
      <c r="H98" t="s">
        <v>2585</v>
      </c>
      <c r="I98" t="s">
        <v>3891</v>
      </c>
      <c r="J98" t="s">
        <v>4243</v>
      </c>
      <c r="K98">
        <v>11691</v>
      </c>
      <c r="L98" t="s">
        <v>4275</v>
      </c>
      <c r="M98" t="s">
        <v>4275</v>
      </c>
      <c r="O98" t="s">
        <v>4282</v>
      </c>
      <c r="P98" t="s">
        <v>4381</v>
      </c>
      <c r="Q98" t="s">
        <v>5737</v>
      </c>
      <c r="R98" t="s">
        <v>5753</v>
      </c>
      <c r="S98" t="s">
        <v>5759</v>
      </c>
      <c r="T98" t="s">
        <v>4276</v>
      </c>
      <c r="V98" t="s">
        <v>5768</v>
      </c>
      <c r="W98" t="s">
        <v>5772</v>
      </c>
      <c r="X98" t="s">
        <v>126</v>
      </c>
      <c r="Y98">
        <v>555</v>
      </c>
      <c r="Z98" t="s">
        <v>5803</v>
      </c>
      <c r="AA98" t="s">
        <v>5804</v>
      </c>
      <c r="AB98" t="s">
        <v>5821</v>
      </c>
      <c r="AC98" t="s">
        <v>5926</v>
      </c>
      <c r="AE98" t="s">
        <v>7935</v>
      </c>
      <c r="AF98">
        <v>117</v>
      </c>
      <c r="AG98" t="s">
        <v>9271</v>
      </c>
      <c r="AH98" t="s">
        <v>4280</v>
      </c>
      <c r="AI98">
        <v>11</v>
      </c>
      <c r="AJ98">
        <v>2</v>
      </c>
      <c r="AK98">
        <v>1</v>
      </c>
      <c r="AL98">
        <v>171.04</v>
      </c>
      <c r="AO98" t="s">
        <v>1425</v>
      </c>
      <c r="AP98">
        <v>35542</v>
      </c>
      <c r="AV98">
        <v>0.3</v>
      </c>
      <c r="AW98" t="s">
        <v>54</v>
      </c>
    </row>
    <row r="99" spans="1:49">
      <c r="A99" s="1">
        <f>HYPERLINK("https://cms.ls-nyc.org/matter/dynamic-profile/view/1873153","18-1873153")</f>
        <v>0</v>
      </c>
      <c r="B99" t="s">
        <v>50</v>
      </c>
      <c r="C99" t="s">
        <v>82</v>
      </c>
      <c r="D99" t="s">
        <v>133</v>
      </c>
      <c r="E99" t="s">
        <v>187</v>
      </c>
      <c r="F99" t="s">
        <v>407</v>
      </c>
      <c r="G99" t="s">
        <v>1465</v>
      </c>
      <c r="H99" t="s">
        <v>2586</v>
      </c>
      <c r="I99" t="s">
        <v>3892</v>
      </c>
      <c r="J99" t="s">
        <v>4243</v>
      </c>
      <c r="K99">
        <v>11691</v>
      </c>
      <c r="L99" t="s">
        <v>4275</v>
      </c>
      <c r="M99" t="s">
        <v>4275</v>
      </c>
      <c r="O99" t="s">
        <v>4283</v>
      </c>
      <c r="P99" t="s">
        <v>4382</v>
      </c>
      <c r="Q99" t="s">
        <v>5731</v>
      </c>
      <c r="R99" t="s">
        <v>5751</v>
      </c>
      <c r="S99" t="s">
        <v>5758</v>
      </c>
      <c r="T99" t="s">
        <v>4276</v>
      </c>
      <c r="V99" t="s">
        <v>5767</v>
      </c>
      <c r="W99" t="s">
        <v>5771</v>
      </c>
      <c r="X99" t="s">
        <v>133</v>
      </c>
      <c r="Y99">
        <v>685</v>
      </c>
      <c r="Z99" t="s">
        <v>5803</v>
      </c>
      <c r="AA99" t="s">
        <v>5804</v>
      </c>
      <c r="AB99" t="s">
        <v>5820</v>
      </c>
      <c r="AC99" t="s">
        <v>5927</v>
      </c>
      <c r="AD99" t="s">
        <v>4700</v>
      </c>
      <c r="AE99" t="s">
        <v>7936</v>
      </c>
      <c r="AF99">
        <v>38</v>
      </c>
      <c r="AG99" t="s">
        <v>9276</v>
      </c>
      <c r="AH99" t="s">
        <v>4280</v>
      </c>
      <c r="AI99">
        <v>4</v>
      </c>
      <c r="AJ99">
        <v>1</v>
      </c>
      <c r="AK99">
        <v>0</v>
      </c>
      <c r="AL99">
        <v>171.33</v>
      </c>
      <c r="AN99" t="s">
        <v>9294</v>
      </c>
      <c r="AO99" t="s">
        <v>1425</v>
      </c>
      <c r="AP99">
        <v>20800</v>
      </c>
      <c r="AR99" t="s">
        <v>9326</v>
      </c>
      <c r="AS99" t="s">
        <v>9336</v>
      </c>
      <c r="AT99" t="s">
        <v>9369</v>
      </c>
      <c r="AU99" t="s">
        <v>9410</v>
      </c>
      <c r="AV99">
        <v>5.2</v>
      </c>
      <c r="AW99" t="s">
        <v>54</v>
      </c>
    </row>
    <row r="100" spans="1:49">
      <c r="A100" s="1">
        <f>HYPERLINK("https://cms.ls-nyc.org/matter/dynamic-profile/view/1871545","18-1871545")</f>
        <v>0</v>
      </c>
      <c r="B100" t="s">
        <v>50</v>
      </c>
      <c r="C100" t="s">
        <v>82</v>
      </c>
      <c r="D100" t="s">
        <v>102</v>
      </c>
      <c r="E100" t="s">
        <v>257</v>
      </c>
      <c r="F100" t="s">
        <v>408</v>
      </c>
      <c r="G100" t="s">
        <v>1466</v>
      </c>
      <c r="H100" t="s">
        <v>2587</v>
      </c>
      <c r="I100" t="s">
        <v>3858</v>
      </c>
      <c r="J100" t="s">
        <v>4241</v>
      </c>
      <c r="K100">
        <v>11368</v>
      </c>
      <c r="L100" t="s">
        <v>4275</v>
      </c>
      <c r="M100" t="s">
        <v>4275</v>
      </c>
      <c r="O100" t="s">
        <v>4282</v>
      </c>
      <c r="P100" t="s">
        <v>4383</v>
      </c>
      <c r="Q100" t="s">
        <v>5731</v>
      </c>
      <c r="R100" t="s">
        <v>5751</v>
      </c>
      <c r="S100" t="s">
        <v>5758</v>
      </c>
      <c r="T100" t="s">
        <v>4276</v>
      </c>
      <c r="V100" t="s">
        <v>5767</v>
      </c>
      <c r="W100" t="s">
        <v>5774</v>
      </c>
      <c r="X100" t="s">
        <v>102</v>
      </c>
      <c r="Y100">
        <v>1893</v>
      </c>
      <c r="Z100" t="s">
        <v>5803</v>
      </c>
      <c r="AA100" t="s">
        <v>5804</v>
      </c>
      <c r="AB100" t="s">
        <v>5820</v>
      </c>
      <c r="AC100" t="s">
        <v>5928</v>
      </c>
      <c r="AD100" t="s">
        <v>7327</v>
      </c>
      <c r="AE100" t="s">
        <v>7937</v>
      </c>
      <c r="AF100">
        <v>224</v>
      </c>
      <c r="AG100" t="s">
        <v>9272</v>
      </c>
      <c r="AH100" t="s">
        <v>4280</v>
      </c>
      <c r="AI100">
        <v>8</v>
      </c>
      <c r="AJ100">
        <v>2</v>
      </c>
      <c r="AK100">
        <v>0</v>
      </c>
      <c r="AL100">
        <v>180</v>
      </c>
      <c r="AO100" t="s">
        <v>1425</v>
      </c>
      <c r="AP100">
        <v>29628</v>
      </c>
      <c r="AR100" t="s">
        <v>9326</v>
      </c>
      <c r="AS100" t="s">
        <v>9336</v>
      </c>
      <c r="AT100" t="s">
        <v>9369</v>
      </c>
      <c r="AU100" t="s">
        <v>9411</v>
      </c>
      <c r="AV100">
        <v>9.699999999999999</v>
      </c>
      <c r="AW100" t="s">
        <v>73</v>
      </c>
    </row>
    <row r="101" spans="1:49">
      <c r="A101" s="1">
        <f>HYPERLINK("https://cms.ls-nyc.org/matter/dynamic-profile/view/1889753","19-1889753")</f>
        <v>0</v>
      </c>
      <c r="B101" t="s">
        <v>50</v>
      </c>
      <c r="C101" t="s">
        <v>83</v>
      </c>
      <c r="D101" t="s">
        <v>100</v>
      </c>
      <c r="F101" t="s">
        <v>409</v>
      </c>
      <c r="G101" t="s">
        <v>1467</v>
      </c>
      <c r="H101" t="s">
        <v>2588</v>
      </c>
      <c r="I101" t="s">
        <v>3893</v>
      </c>
      <c r="J101" t="s">
        <v>4222</v>
      </c>
      <c r="K101">
        <v>11434</v>
      </c>
      <c r="L101" t="s">
        <v>4275</v>
      </c>
      <c r="M101" t="s">
        <v>4275</v>
      </c>
      <c r="O101" t="s">
        <v>4281</v>
      </c>
      <c r="P101" t="s">
        <v>4384</v>
      </c>
      <c r="Q101" t="s">
        <v>5731</v>
      </c>
      <c r="R101" t="s">
        <v>5751</v>
      </c>
      <c r="T101" t="s">
        <v>4276</v>
      </c>
      <c r="V101" t="s">
        <v>5768</v>
      </c>
      <c r="W101" t="s">
        <v>5775</v>
      </c>
      <c r="X101" t="s">
        <v>100</v>
      </c>
      <c r="Y101">
        <v>1800</v>
      </c>
      <c r="Z101" t="s">
        <v>5803</v>
      </c>
      <c r="AA101" t="s">
        <v>5805</v>
      </c>
      <c r="AC101" t="s">
        <v>5929</v>
      </c>
      <c r="AD101" t="s">
        <v>7328</v>
      </c>
      <c r="AE101" t="s">
        <v>7938</v>
      </c>
      <c r="AF101">
        <v>602</v>
      </c>
      <c r="AG101" t="s">
        <v>9271</v>
      </c>
      <c r="AH101" t="s">
        <v>4280</v>
      </c>
      <c r="AI101">
        <v>16</v>
      </c>
      <c r="AJ101">
        <v>4</v>
      </c>
      <c r="AK101">
        <v>0</v>
      </c>
      <c r="AL101">
        <v>183.19</v>
      </c>
      <c r="AO101" t="s">
        <v>1425</v>
      </c>
      <c r="AP101">
        <v>47172</v>
      </c>
      <c r="AR101" t="s">
        <v>9331</v>
      </c>
      <c r="AS101" t="s">
        <v>5806</v>
      </c>
      <c r="AT101" t="s">
        <v>9369</v>
      </c>
      <c r="AU101" t="s">
        <v>9412</v>
      </c>
      <c r="AV101">
        <v>5.5</v>
      </c>
      <c r="AW101" t="s">
        <v>54</v>
      </c>
    </row>
    <row r="102" spans="1:49">
      <c r="A102" s="1">
        <f>HYPERLINK("https://cms.ls-nyc.org/matter/dynamic-profile/view/1897586","19-1897586")</f>
        <v>0</v>
      </c>
      <c r="B102" t="s">
        <v>50</v>
      </c>
      <c r="C102" t="s">
        <v>83</v>
      </c>
      <c r="D102" t="s">
        <v>107</v>
      </c>
      <c r="F102" t="s">
        <v>410</v>
      </c>
      <c r="G102" t="s">
        <v>1468</v>
      </c>
      <c r="H102" t="s">
        <v>2589</v>
      </c>
      <c r="J102" t="s">
        <v>4222</v>
      </c>
      <c r="K102">
        <v>11433</v>
      </c>
      <c r="L102" t="s">
        <v>4275</v>
      </c>
      <c r="M102" t="s">
        <v>4275</v>
      </c>
      <c r="O102" t="s">
        <v>4281</v>
      </c>
      <c r="P102" t="s">
        <v>4385</v>
      </c>
      <c r="Q102" t="s">
        <v>5732</v>
      </c>
      <c r="R102" t="s">
        <v>5751</v>
      </c>
      <c r="T102" t="s">
        <v>4276</v>
      </c>
      <c r="V102" t="s">
        <v>5767</v>
      </c>
      <c r="W102" t="s">
        <v>5772</v>
      </c>
      <c r="X102" t="s">
        <v>107</v>
      </c>
      <c r="Y102">
        <v>1500</v>
      </c>
      <c r="Z102" t="s">
        <v>5803</v>
      </c>
      <c r="AA102" t="s">
        <v>5805</v>
      </c>
      <c r="AC102" t="s">
        <v>5930</v>
      </c>
      <c r="AE102" t="s">
        <v>7939</v>
      </c>
      <c r="AF102">
        <v>2</v>
      </c>
      <c r="AG102" t="s">
        <v>9270</v>
      </c>
      <c r="AH102" t="s">
        <v>4280</v>
      </c>
      <c r="AI102">
        <v>3</v>
      </c>
      <c r="AJ102">
        <v>2</v>
      </c>
      <c r="AK102">
        <v>3</v>
      </c>
      <c r="AL102">
        <v>189.59</v>
      </c>
      <c r="AO102" t="s">
        <v>1425</v>
      </c>
      <c r="AP102">
        <v>57200</v>
      </c>
      <c r="AV102">
        <v>15.6</v>
      </c>
      <c r="AW102" t="s">
        <v>54</v>
      </c>
    </row>
    <row r="103" spans="1:49">
      <c r="A103" s="1">
        <f>HYPERLINK("https://cms.ls-nyc.org/matter/dynamic-profile/view/1878588","18-1878588")</f>
        <v>0</v>
      </c>
      <c r="B103" t="s">
        <v>50</v>
      </c>
      <c r="C103" t="s">
        <v>82</v>
      </c>
      <c r="D103" t="s">
        <v>147</v>
      </c>
      <c r="E103" t="s">
        <v>187</v>
      </c>
      <c r="F103" t="s">
        <v>411</v>
      </c>
      <c r="G103" t="s">
        <v>1469</v>
      </c>
      <c r="H103" t="s">
        <v>2590</v>
      </c>
      <c r="I103" t="s">
        <v>3894</v>
      </c>
      <c r="J103" t="s">
        <v>4243</v>
      </c>
      <c r="K103">
        <v>11691</v>
      </c>
      <c r="L103" t="s">
        <v>4275</v>
      </c>
      <c r="M103" t="s">
        <v>4275</v>
      </c>
      <c r="O103" t="s">
        <v>4283</v>
      </c>
      <c r="P103" t="s">
        <v>4386</v>
      </c>
      <c r="Q103" t="s">
        <v>5731</v>
      </c>
      <c r="R103" t="s">
        <v>5751</v>
      </c>
      <c r="S103" t="s">
        <v>5758</v>
      </c>
      <c r="T103" t="s">
        <v>4276</v>
      </c>
      <c r="V103" t="s">
        <v>5767</v>
      </c>
      <c r="W103" t="s">
        <v>5773</v>
      </c>
      <c r="X103" t="s">
        <v>147</v>
      </c>
      <c r="Y103">
        <v>1424</v>
      </c>
      <c r="Z103" t="s">
        <v>5803</v>
      </c>
      <c r="AA103" t="s">
        <v>5804</v>
      </c>
      <c r="AB103" t="s">
        <v>5820</v>
      </c>
      <c r="AC103" t="s">
        <v>5931</v>
      </c>
      <c r="AD103" t="s">
        <v>7329</v>
      </c>
      <c r="AE103" t="s">
        <v>7940</v>
      </c>
      <c r="AF103">
        <v>42</v>
      </c>
      <c r="AG103" t="s">
        <v>9270</v>
      </c>
      <c r="AH103" t="s">
        <v>4280</v>
      </c>
      <c r="AI103">
        <v>2</v>
      </c>
      <c r="AJ103">
        <v>1</v>
      </c>
      <c r="AK103">
        <v>3</v>
      </c>
      <c r="AL103">
        <v>191.24</v>
      </c>
      <c r="AO103" t="s">
        <v>1425</v>
      </c>
      <c r="AP103">
        <v>48000</v>
      </c>
      <c r="AR103" t="s">
        <v>9326</v>
      </c>
      <c r="AS103" t="s">
        <v>5806</v>
      </c>
      <c r="AT103" t="s">
        <v>9369</v>
      </c>
      <c r="AU103" t="s">
        <v>9413</v>
      </c>
      <c r="AV103">
        <v>7.6</v>
      </c>
      <c r="AW103" t="s">
        <v>54</v>
      </c>
    </row>
    <row r="104" spans="1:49">
      <c r="A104" s="1">
        <f>HYPERLINK("https://cms.ls-nyc.org/matter/dynamic-profile/view/1888241","19-1888241")</f>
        <v>0</v>
      </c>
      <c r="B104" t="s">
        <v>50</v>
      </c>
      <c r="C104" t="s">
        <v>83</v>
      </c>
      <c r="D104" t="s">
        <v>144</v>
      </c>
      <c r="F104" t="s">
        <v>412</v>
      </c>
      <c r="G104" t="s">
        <v>1385</v>
      </c>
      <c r="H104" t="s">
        <v>2591</v>
      </c>
      <c r="J104" t="s">
        <v>4240</v>
      </c>
      <c r="K104">
        <v>11373</v>
      </c>
      <c r="L104" t="s">
        <v>4275</v>
      </c>
      <c r="M104" t="s">
        <v>4275</v>
      </c>
      <c r="O104" t="s">
        <v>4281</v>
      </c>
      <c r="P104" t="s">
        <v>4387</v>
      </c>
      <c r="Q104" t="s">
        <v>5731</v>
      </c>
      <c r="R104" t="s">
        <v>5752</v>
      </c>
      <c r="T104" t="s">
        <v>4276</v>
      </c>
      <c r="V104" t="s">
        <v>5767</v>
      </c>
      <c r="W104" t="s">
        <v>5773</v>
      </c>
      <c r="Y104">
        <v>2100</v>
      </c>
      <c r="Z104" t="s">
        <v>5803</v>
      </c>
      <c r="AA104" t="s">
        <v>5805</v>
      </c>
      <c r="AC104" t="s">
        <v>5932</v>
      </c>
      <c r="AE104" t="s">
        <v>7289</v>
      </c>
      <c r="AF104">
        <v>0</v>
      </c>
      <c r="AI104">
        <v>15</v>
      </c>
      <c r="AJ104">
        <v>4</v>
      </c>
      <c r="AK104">
        <v>3</v>
      </c>
      <c r="AL104">
        <v>191.28</v>
      </c>
      <c r="AO104" t="s">
        <v>1425</v>
      </c>
      <c r="AP104">
        <v>72800</v>
      </c>
      <c r="AV104">
        <v>1</v>
      </c>
      <c r="AW104" t="s">
        <v>60</v>
      </c>
    </row>
    <row r="105" spans="1:49">
      <c r="A105" s="1">
        <f>HYPERLINK("https://cms.ls-nyc.org/matter/dynamic-profile/view/1882593","18-1882593")</f>
        <v>0</v>
      </c>
      <c r="B105" t="s">
        <v>50</v>
      </c>
      <c r="C105" t="s">
        <v>83</v>
      </c>
      <c r="D105" t="s">
        <v>111</v>
      </c>
      <c r="F105" t="s">
        <v>413</v>
      </c>
      <c r="G105" t="s">
        <v>1470</v>
      </c>
      <c r="H105" t="s">
        <v>2592</v>
      </c>
      <c r="I105" t="s">
        <v>3895</v>
      </c>
      <c r="J105" t="s">
        <v>4245</v>
      </c>
      <c r="K105">
        <v>11418</v>
      </c>
      <c r="L105" t="s">
        <v>4275</v>
      </c>
      <c r="M105" t="s">
        <v>4275</v>
      </c>
      <c r="O105" t="s">
        <v>4282</v>
      </c>
      <c r="P105" t="s">
        <v>4388</v>
      </c>
      <c r="Q105" t="s">
        <v>5731</v>
      </c>
      <c r="R105" t="s">
        <v>5753</v>
      </c>
      <c r="T105" t="s">
        <v>4276</v>
      </c>
      <c r="V105" t="s">
        <v>5767</v>
      </c>
      <c r="W105" t="s">
        <v>5771</v>
      </c>
      <c r="X105" t="s">
        <v>111</v>
      </c>
      <c r="Y105">
        <v>1350</v>
      </c>
      <c r="Z105" t="s">
        <v>5803</v>
      </c>
      <c r="AA105" t="s">
        <v>5804</v>
      </c>
      <c r="AC105" t="s">
        <v>5933</v>
      </c>
      <c r="AD105" t="s">
        <v>4700</v>
      </c>
      <c r="AE105" t="s">
        <v>7941</v>
      </c>
      <c r="AF105">
        <v>44</v>
      </c>
      <c r="AG105" t="s">
        <v>9272</v>
      </c>
      <c r="AH105" t="s">
        <v>4280</v>
      </c>
      <c r="AI105">
        <v>3</v>
      </c>
      <c r="AJ105">
        <v>1</v>
      </c>
      <c r="AK105">
        <v>2</v>
      </c>
      <c r="AL105">
        <v>192.49</v>
      </c>
      <c r="AO105" t="s">
        <v>1425</v>
      </c>
      <c r="AP105">
        <v>40000</v>
      </c>
      <c r="AR105" t="s">
        <v>9326</v>
      </c>
      <c r="AS105" t="s">
        <v>5806</v>
      </c>
      <c r="AT105" t="s">
        <v>9369</v>
      </c>
      <c r="AU105" t="s">
        <v>9385</v>
      </c>
      <c r="AV105">
        <v>1.1</v>
      </c>
      <c r="AW105" t="s">
        <v>73</v>
      </c>
    </row>
    <row r="106" spans="1:49">
      <c r="A106" s="1">
        <f>HYPERLINK("https://cms.ls-nyc.org/matter/dynamic-profile/view/1878698","18-1878698")</f>
        <v>0</v>
      </c>
      <c r="B106" t="s">
        <v>50</v>
      </c>
      <c r="C106" t="s">
        <v>82</v>
      </c>
      <c r="D106" t="s">
        <v>147</v>
      </c>
      <c r="E106" t="s">
        <v>201</v>
      </c>
      <c r="F106" t="s">
        <v>414</v>
      </c>
      <c r="G106" t="s">
        <v>642</v>
      </c>
      <c r="H106" t="s">
        <v>2593</v>
      </c>
      <c r="I106" t="s">
        <v>3878</v>
      </c>
      <c r="J106" t="s">
        <v>4239</v>
      </c>
      <c r="K106">
        <v>11420</v>
      </c>
      <c r="L106" t="s">
        <v>4275</v>
      </c>
      <c r="M106" t="s">
        <v>4275</v>
      </c>
      <c r="O106" t="s">
        <v>4282</v>
      </c>
      <c r="P106" t="s">
        <v>4389</v>
      </c>
      <c r="Q106" t="s">
        <v>5732</v>
      </c>
      <c r="R106" t="s">
        <v>5753</v>
      </c>
      <c r="S106" t="s">
        <v>5759</v>
      </c>
      <c r="T106" t="s">
        <v>4276</v>
      </c>
      <c r="V106" t="s">
        <v>5767</v>
      </c>
      <c r="W106" t="s">
        <v>5772</v>
      </c>
      <c r="X106" t="s">
        <v>215</v>
      </c>
      <c r="Y106">
        <v>850</v>
      </c>
      <c r="Z106" t="s">
        <v>5803</v>
      </c>
      <c r="AA106" t="s">
        <v>5804</v>
      </c>
      <c r="AB106" t="s">
        <v>5821</v>
      </c>
      <c r="AC106" t="s">
        <v>5934</v>
      </c>
      <c r="AE106" t="s">
        <v>7942</v>
      </c>
      <c r="AF106">
        <v>1</v>
      </c>
      <c r="AG106" t="s">
        <v>9269</v>
      </c>
      <c r="AH106" t="s">
        <v>4280</v>
      </c>
      <c r="AI106">
        <v>2</v>
      </c>
      <c r="AJ106">
        <v>1</v>
      </c>
      <c r="AK106">
        <v>1</v>
      </c>
      <c r="AL106">
        <v>194.41</v>
      </c>
      <c r="AO106" t="s">
        <v>1425</v>
      </c>
      <c r="AP106">
        <v>32000</v>
      </c>
      <c r="AV106">
        <v>1.4</v>
      </c>
      <c r="AW106" t="s">
        <v>73</v>
      </c>
    </row>
    <row r="107" spans="1:49">
      <c r="A107" s="1">
        <f>HYPERLINK("https://cms.ls-nyc.org/matter/dynamic-profile/view/1872004","18-1872004")</f>
        <v>0</v>
      </c>
      <c r="B107" t="s">
        <v>50</v>
      </c>
      <c r="C107" t="s">
        <v>82</v>
      </c>
      <c r="D107" t="s">
        <v>113</v>
      </c>
      <c r="E107" t="s">
        <v>288</v>
      </c>
      <c r="F107" t="s">
        <v>415</v>
      </c>
      <c r="G107" t="s">
        <v>1471</v>
      </c>
      <c r="H107" t="s">
        <v>2594</v>
      </c>
      <c r="I107" t="s">
        <v>3896</v>
      </c>
      <c r="J107" t="s">
        <v>4241</v>
      </c>
      <c r="K107">
        <v>11368</v>
      </c>
      <c r="L107" t="s">
        <v>4275</v>
      </c>
      <c r="M107" t="s">
        <v>4275</v>
      </c>
      <c r="N107" t="s">
        <v>4278</v>
      </c>
      <c r="O107" t="s">
        <v>4282</v>
      </c>
      <c r="P107" t="s">
        <v>4390</v>
      </c>
      <c r="Q107" t="s">
        <v>5731</v>
      </c>
      <c r="R107" t="s">
        <v>5753</v>
      </c>
      <c r="S107" t="s">
        <v>5759</v>
      </c>
      <c r="T107" t="s">
        <v>4276</v>
      </c>
      <c r="V107" t="s">
        <v>5767</v>
      </c>
      <c r="W107" t="s">
        <v>5772</v>
      </c>
      <c r="X107" t="s">
        <v>113</v>
      </c>
      <c r="Y107">
        <v>1400</v>
      </c>
      <c r="Z107" t="s">
        <v>5803</v>
      </c>
      <c r="AA107" t="s">
        <v>5804</v>
      </c>
      <c r="AB107" t="s">
        <v>5821</v>
      </c>
      <c r="AC107" t="s">
        <v>5935</v>
      </c>
      <c r="AD107" t="s">
        <v>4700</v>
      </c>
      <c r="AE107" t="s">
        <v>7943</v>
      </c>
      <c r="AF107">
        <v>234</v>
      </c>
      <c r="AG107" t="s">
        <v>9272</v>
      </c>
      <c r="AH107" t="s">
        <v>4280</v>
      </c>
      <c r="AI107">
        <v>20</v>
      </c>
      <c r="AJ107">
        <v>1</v>
      </c>
      <c r="AK107">
        <v>0</v>
      </c>
      <c r="AL107">
        <v>197.69</v>
      </c>
      <c r="AN107" t="s">
        <v>9294</v>
      </c>
      <c r="AO107" t="s">
        <v>1425</v>
      </c>
      <c r="AP107">
        <v>24000</v>
      </c>
      <c r="AV107">
        <v>1.2</v>
      </c>
      <c r="AW107" t="s">
        <v>54</v>
      </c>
    </row>
    <row r="108" spans="1:49">
      <c r="A108" s="1">
        <f>HYPERLINK("https://cms.ls-nyc.org/matter/dynamic-profile/view/1873775","18-1873775")</f>
        <v>0</v>
      </c>
      <c r="B108" t="s">
        <v>50</v>
      </c>
      <c r="C108" t="s">
        <v>82</v>
      </c>
      <c r="D108" t="s">
        <v>112</v>
      </c>
      <c r="E108" t="s">
        <v>257</v>
      </c>
      <c r="F108" t="s">
        <v>416</v>
      </c>
      <c r="G108" t="s">
        <v>1472</v>
      </c>
      <c r="H108" t="s">
        <v>2595</v>
      </c>
      <c r="I108" t="s">
        <v>3897</v>
      </c>
      <c r="J108" t="s">
        <v>4229</v>
      </c>
      <c r="K108">
        <v>11355</v>
      </c>
      <c r="L108" t="s">
        <v>4275</v>
      </c>
      <c r="M108" t="s">
        <v>4275</v>
      </c>
      <c r="O108" t="s">
        <v>4282</v>
      </c>
      <c r="P108" t="s">
        <v>4391</v>
      </c>
      <c r="Q108" t="s">
        <v>5731</v>
      </c>
      <c r="R108" t="s">
        <v>5753</v>
      </c>
      <c r="S108" t="s">
        <v>5759</v>
      </c>
      <c r="T108" t="s">
        <v>4276</v>
      </c>
      <c r="V108" t="s">
        <v>5767</v>
      </c>
      <c r="W108" t="s">
        <v>5772</v>
      </c>
      <c r="X108" t="s">
        <v>112</v>
      </c>
      <c r="Y108">
        <v>2000</v>
      </c>
      <c r="Z108" t="s">
        <v>5803</v>
      </c>
      <c r="AA108" t="s">
        <v>5804</v>
      </c>
      <c r="AB108" t="s">
        <v>5821</v>
      </c>
      <c r="AC108" t="s">
        <v>5936</v>
      </c>
      <c r="AD108" t="s">
        <v>4700</v>
      </c>
      <c r="AE108" t="s">
        <v>7944</v>
      </c>
      <c r="AF108">
        <v>23</v>
      </c>
      <c r="AG108" t="s">
        <v>9270</v>
      </c>
      <c r="AH108" t="s">
        <v>4280</v>
      </c>
      <c r="AI108">
        <v>1</v>
      </c>
      <c r="AJ108">
        <v>1</v>
      </c>
      <c r="AK108">
        <v>0</v>
      </c>
      <c r="AL108">
        <v>197.69</v>
      </c>
      <c r="AO108" t="s">
        <v>9302</v>
      </c>
      <c r="AP108">
        <v>24000</v>
      </c>
      <c r="AV108">
        <v>1.7</v>
      </c>
      <c r="AW108" t="s">
        <v>73</v>
      </c>
    </row>
    <row r="109" spans="1:49">
      <c r="A109" s="1">
        <f>HYPERLINK("https://cms.ls-nyc.org/matter/dynamic-profile/view/1900710","19-1900710")</f>
        <v>0</v>
      </c>
      <c r="B109" t="s">
        <v>50</v>
      </c>
      <c r="C109" t="s">
        <v>83</v>
      </c>
      <c r="D109" t="s">
        <v>97</v>
      </c>
      <c r="F109" t="s">
        <v>417</v>
      </c>
      <c r="G109" t="s">
        <v>1473</v>
      </c>
      <c r="H109" t="s">
        <v>2596</v>
      </c>
      <c r="I109" t="s">
        <v>3856</v>
      </c>
      <c r="J109" t="s">
        <v>4225</v>
      </c>
      <c r="K109">
        <v>11385</v>
      </c>
      <c r="L109" t="s">
        <v>4275</v>
      </c>
      <c r="M109" t="s">
        <v>4277</v>
      </c>
      <c r="N109" t="s">
        <v>4278</v>
      </c>
      <c r="O109" t="s">
        <v>4281</v>
      </c>
      <c r="P109" t="s">
        <v>4392</v>
      </c>
      <c r="Q109" t="s">
        <v>5731</v>
      </c>
      <c r="R109" t="s">
        <v>5751</v>
      </c>
      <c r="T109" t="s">
        <v>4276</v>
      </c>
      <c r="V109" t="s">
        <v>5767</v>
      </c>
      <c r="X109" t="s">
        <v>97</v>
      </c>
      <c r="Y109">
        <v>950</v>
      </c>
      <c r="Z109" t="s">
        <v>5803</v>
      </c>
      <c r="AA109" t="s">
        <v>5805</v>
      </c>
      <c r="AC109" t="s">
        <v>5937</v>
      </c>
      <c r="AE109" t="s">
        <v>7945</v>
      </c>
      <c r="AF109">
        <v>6</v>
      </c>
      <c r="AG109" t="s">
        <v>9270</v>
      </c>
      <c r="AH109" t="s">
        <v>4280</v>
      </c>
      <c r="AI109">
        <v>1</v>
      </c>
      <c r="AJ109">
        <v>1</v>
      </c>
      <c r="AK109">
        <v>0</v>
      </c>
      <c r="AL109">
        <v>228.98</v>
      </c>
      <c r="AO109" t="s">
        <v>1425</v>
      </c>
      <c r="AP109">
        <v>28600</v>
      </c>
      <c r="AV109">
        <v>5.5</v>
      </c>
      <c r="AW109" t="s">
        <v>54</v>
      </c>
    </row>
    <row r="110" spans="1:49">
      <c r="A110" s="1">
        <f>HYPERLINK("https://cms.ls-nyc.org/matter/dynamic-profile/view/1873537","18-1873537")</f>
        <v>0</v>
      </c>
      <c r="B110" t="s">
        <v>51</v>
      </c>
      <c r="C110" t="s">
        <v>82</v>
      </c>
      <c r="D110" t="s">
        <v>148</v>
      </c>
      <c r="E110" t="s">
        <v>127</v>
      </c>
      <c r="F110" t="s">
        <v>418</v>
      </c>
      <c r="G110" t="s">
        <v>1241</v>
      </c>
      <c r="H110" t="s">
        <v>2597</v>
      </c>
      <c r="J110" t="s">
        <v>4222</v>
      </c>
      <c r="K110">
        <v>11432</v>
      </c>
      <c r="L110" t="s">
        <v>4275</v>
      </c>
      <c r="M110" t="s">
        <v>4275</v>
      </c>
      <c r="O110" t="s">
        <v>4282</v>
      </c>
      <c r="P110" t="s">
        <v>4393</v>
      </c>
      <c r="Q110" t="s">
        <v>5731</v>
      </c>
      <c r="R110" t="s">
        <v>5751</v>
      </c>
      <c r="S110" t="s">
        <v>5762</v>
      </c>
      <c r="T110" t="s">
        <v>4276</v>
      </c>
      <c r="V110" t="s">
        <v>5767</v>
      </c>
      <c r="W110" t="s">
        <v>5772</v>
      </c>
      <c r="X110" t="s">
        <v>5781</v>
      </c>
      <c r="Y110">
        <v>1268</v>
      </c>
      <c r="Z110" t="s">
        <v>5803</v>
      </c>
      <c r="AA110" t="s">
        <v>5808</v>
      </c>
      <c r="AB110" t="s">
        <v>5820</v>
      </c>
      <c r="AC110" t="s">
        <v>5938</v>
      </c>
      <c r="AD110" t="s">
        <v>7330</v>
      </c>
      <c r="AE110" t="s">
        <v>7946</v>
      </c>
      <c r="AF110">
        <v>72</v>
      </c>
      <c r="AG110" t="s">
        <v>9272</v>
      </c>
      <c r="AH110" t="s">
        <v>4280</v>
      </c>
      <c r="AI110">
        <v>21</v>
      </c>
      <c r="AJ110">
        <v>2</v>
      </c>
      <c r="AK110">
        <v>0</v>
      </c>
      <c r="AL110">
        <v>56.21</v>
      </c>
      <c r="AO110" t="s">
        <v>9303</v>
      </c>
      <c r="AP110">
        <v>9252</v>
      </c>
      <c r="AR110" t="s">
        <v>9329</v>
      </c>
      <c r="AS110" t="s">
        <v>9345</v>
      </c>
      <c r="AT110" t="s">
        <v>9369</v>
      </c>
      <c r="AU110" t="s">
        <v>9407</v>
      </c>
      <c r="AV110">
        <v>21.35</v>
      </c>
      <c r="AW110" t="s">
        <v>73</v>
      </c>
    </row>
    <row r="111" spans="1:49">
      <c r="A111" s="1">
        <f>HYPERLINK("https://cms.ls-nyc.org/matter/dynamic-profile/view/1880711","18-1880711")</f>
        <v>0</v>
      </c>
      <c r="B111" t="s">
        <v>51</v>
      </c>
      <c r="C111" t="s">
        <v>82</v>
      </c>
      <c r="D111" t="s">
        <v>84</v>
      </c>
      <c r="E111" t="s">
        <v>253</v>
      </c>
      <c r="F111" t="s">
        <v>419</v>
      </c>
      <c r="G111" t="s">
        <v>1474</v>
      </c>
      <c r="H111" t="s">
        <v>2598</v>
      </c>
      <c r="J111" t="s">
        <v>4222</v>
      </c>
      <c r="K111">
        <v>11435</v>
      </c>
      <c r="L111" t="s">
        <v>4275</v>
      </c>
      <c r="M111" t="s">
        <v>4275</v>
      </c>
      <c r="O111" t="s">
        <v>4282</v>
      </c>
      <c r="P111" t="s">
        <v>4394</v>
      </c>
      <c r="Q111" t="s">
        <v>5732</v>
      </c>
      <c r="R111" t="s">
        <v>5752</v>
      </c>
      <c r="S111" t="s">
        <v>5759</v>
      </c>
      <c r="T111" t="s">
        <v>4276</v>
      </c>
      <c r="V111" t="s">
        <v>5767</v>
      </c>
      <c r="Y111">
        <v>1200</v>
      </c>
      <c r="Z111" t="s">
        <v>5803</v>
      </c>
      <c r="AA111" t="s">
        <v>5804</v>
      </c>
      <c r="AB111" t="s">
        <v>5821</v>
      </c>
      <c r="AC111" t="s">
        <v>5939</v>
      </c>
      <c r="AD111" t="s">
        <v>7331</v>
      </c>
      <c r="AE111" t="s">
        <v>7947</v>
      </c>
      <c r="AF111">
        <v>0</v>
      </c>
      <c r="AG111" t="s">
        <v>9270</v>
      </c>
      <c r="AH111" t="s">
        <v>9285</v>
      </c>
      <c r="AI111">
        <v>8</v>
      </c>
      <c r="AJ111">
        <v>1</v>
      </c>
      <c r="AK111">
        <v>0</v>
      </c>
      <c r="AL111">
        <v>74.14</v>
      </c>
      <c r="AO111" t="s">
        <v>1425</v>
      </c>
      <c r="AP111">
        <v>9000</v>
      </c>
      <c r="AV111">
        <v>2.6</v>
      </c>
      <c r="AW111" t="s">
        <v>54</v>
      </c>
    </row>
    <row r="112" spans="1:49">
      <c r="A112" s="1">
        <f>HYPERLINK("https://cms.ls-nyc.org/matter/dynamic-profile/view/1875673","18-1875673")</f>
        <v>0</v>
      </c>
      <c r="B112" t="s">
        <v>51</v>
      </c>
      <c r="C112" t="s">
        <v>82</v>
      </c>
      <c r="D112" t="s">
        <v>122</v>
      </c>
      <c r="E112" t="s">
        <v>253</v>
      </c>
      <c r="F112" t="s">
        <v>420</v>
      </c>
      <c r="G112" t="s">
        <v>1475</v>
      </c>
      <c r="H112" t="s">
        <v>2599</v>
      </c>
      <c r="I112">
        <v>41</v>
      </c>
      <c r="J112" t="s">
        <v>4222</v>
      </c>
      <c r="K112">
        <v>11432</v>
      </c>
      <c r="L112" t="s">
        <v>4275</v>
      </c>
      <c r="M112" t="s">
        <v>4275</v>
      </c>
      <c r="O112" t="s">
        <v>4282</v>
      </c>
      <c r="P112" t="s">
        <v>4395</v>
      </c>
      <c r="Q112" t="s">
        <v>5731</v>
      </c>
      <c r="R112" t="s">
        <v>5751</v>
      </c>
      <c r="S112" t="s">
        <v>5760</v>
      </c>
      <c r="T112" t="s">
        <v>4276</v>
      </c>
      <c r="U112" t="s">
        <v>4282</v>
      </c>
      <c r="V112" t="s">
        <v>5767</v>
      </c>
      <c r="W112" t="s">
        <v>5774</v>
      </c>
      <c r="X112" t="s">
        <v>122</v>
      </c>
      <c r="Y112">
        <v>1421.57</v>
      </c>
      <c r="Z112" t="s">
        <v>5803</v>
      </c>
      <c r="AA112" t="s">
        <v>5804</v>
      </c>
      <c r="AB112" t="s">
        <v>5824</v>
      </c>
      <c r="AC112" t="s">
        <v>5940</v>
      </c>
      <c r="AD112" t="s">
        <v>4381</v>
      </c>
      <c r="AE112" t="s">
        <v>7948</v>
      </c>
      <c r="AF112">
        <v>36</v>
      </c>
      <c r="AG112" t="s">
        <v>9272</v>
      </c>
      <c r="AH112" t="s">
        <v>4280</v>
      </c>
      <c r="AI112">
        <v>26</v>
      </c>
      <c r="AJ112">
        <v>2</v>
      </c>
      <c r="AK112">
        <v>0</v>
      </c>
      <c r="AL112">
        <v>85.05</v>
      </c>
      <c r="AO112" t="s">
        <v>1425</v>
      </c>
      <c r="AP112">
        <v>14000</v>
      </c>
      <c r="AS112" t="s">
        <v>9336</v>
      </c>
      <c r="AT112" t="s">
        <v>9369</v>
      </c>
      <c r="AU112" t="s">
        <v>9414</v>
      </c>
      <c r="AV112">
        <v>8.050000000000001</v>
      </c>
      <c r="AW112" t="s">
        <v>54</v>
      </c>
    </row>
    <row r="113" spans="1:49">
      <c r="A113" s="1">
        <f>HYPERLINK("https://cms.ls-nyc.org/matter/dynamic-profile/view/1884338","18-1884338")</f>
        <v>0</v>
      </c>
      <c r="B113" t="s">
        <v>51</v>
      </c>
      <c r="C113" t="s">
        <v>82</v>
      </c>
      <c r="D113" t="s">
        <v>149</v>
      </c>
      <c r="E113" t="s">
        <v>282</v>
      </c>
      <c r="F113" t="s">
        <v>421</v>
      </c>
      <c r="G113" t="s">
        <v>1438</v>
      </c>
      <c r="H113" t="s">
        <v>2600</v>
      </c>
      <c r="I113" t="s">
        <v>3866</v>
      </c>
      <c r="J113" t="s">
        <v>4226</v>
      </c>
      <c r="K113">
        <v>11385</v>
      </c>
      <c r="L113" t="s">
        <v>4275</v>
      </c>
      <c r="M113" t="s">
        <v>4275</v>
      </c>
      <c r="O113" t="s">
        <v>4281</v>
      </c>
      <c r="P113" t="s">
        <v>4396</v>
      </c>
      <c r="Q113" t="s">
        <v>5732</v>
      </c>
      <c r="R113" t="s">
        <v>5753</v>
      </c>
      <c r="S113" t="s">
        <v>5759</v>
      </c>
      <c r="T113" t="s">
        <v>4276</v>
      </c>
      <c r="V113" t="s">
        <v>5767</v>
      </c>
      <c r="W113" t="s">
        <v>5774</v>
      </c>
      <c r="X113" t="s">
        <v>149</v>
      </c>
      <c r="Y113">
        <v>1600</v>
      </c>
      <c r="Z113" t="s">
        <v>5803</v>
      </c>
      <c r="AA113" t="s">
        <v>5804</v>
      </c>
      <c r="AB113" t="s">
        <v>5821</v>
      </c>
      <c r="AC113" t="s">
        <v>5941</v>
      </c>
      <c r="AD113" t="s">
        <v>7332</v>
      </c>
      <c r="AE113" t="s">
        <v>7949</v>
      </c>
      <c r="AF113">
        <v>4</v>
      </c>
      <c r="AG113" t="s">
        <v>9270</v>
      </c>
      <c r="AH113" t="s">
        <v>4280</v>
      </c>
      <c r="AI113">
        <v>1</v>
      </c>
      <c r="AJ113">
        <v>1</v>
      </c>
      <c r="AK113">
        <v>0</v>
      </c>
      <c r="AL113">
        <v>98.84999999999999</v>
      </c>
      <c r="AO113" t="s">
        <v>1425</v>
      </c>
      <c r="AP113">
        <v>12000</v>
      </c>
      <c r="AV113">
        <v>1.5</v>
      </c>
      <c r="AW113" t="s">
        <v>54</v>
      </c>
    </row>
    <row r="114" spans="1:49">
      <c r="A114" s="1">
        <f>HYPERLINK("https://cms.ls-nyc.org/matter/dynamic-profile/view/1872697","18-1872697")</f>
        <v>0</v>
      </c>
      <c r="B114" t="s">
        <v>51</v>
      </c>
      <c r="C114" t="s">
        <v>82</v>
      </c>
      <c r="D114" t="s">
        <v>143</v>
      </c>
      <c r="E114" t="s">
        <v>290</v>
      </c>
      <c r="F114" t="s">
        <v>422</v>
      </c>
      <c r="G114" t="s">
        <v>1476</v>
      </c>
      <c r="H114" t="s">
        <v>2601</v>
      </c>
      <c r="I114" t="s">
        <v>3898</v>
      </c>
      <c r="J114" t="s">
        <v>4243</v>
      </c>
      <c r="K114">
        <v>11691</v>
      </c>
      <c r="L114" t="s">
        <v>4275</v>
      </c>
      <c r="M114" t="s">
        <v>4275</v>
      </c>
      <c r="O114" t="s">
        <v>4282</v>
      </c>
      <c r="P114" t="s">
        <v>4397</v>
      </c>
      <c r="Q114" t="s">
        <v>5731</v>
      </c>
      <c r="R114" t="s">
        <v>5753</v>
      </c>
      <c r="S114" t="s">
        <v>5759</v>
      </c>
      <c r="T114" t="s">
        <v>4276</v>
      </c>
      <c r="V114" t="s">
        <v>5767</v>
      </c>
      <c r="W114" t="s">
        <v>5774</v>
      </c>
      <c r="X114" t="s">
        <v>143</v>
      </c>
      <c r="Y114">
        <v>2005</v>
      </c>
      <c r="Z114" t="s">
        <v>5803</v>
      </c>
      <c r="AA114" t="s">
        <v>5806</v>
      </c>
      <c r="AB114" t="s">
        <v>5821</v>
      </c>
      <c r="AC114" t="s">
        <v>5942</v>
      </c>
      <c r="AD114" t="s">
        <v>4700</v>
      </c>
      <c r="AE114" t="s">
        <v>7950</v>
      </c>
      <c r="AF114">
        <v>30</v>
      </c>
      <c r="AG114" t="s">
        <v>9272</v>
      </c>
      <c r="AH114" t="s">
        <v>9282</v>
      </c>
      <c r="AI114">
        <v>3</v>
      </c>
      <c r="AJ114">
        <v>3</v>
      </c>
      <c r="AK114">
        <v>4</v>
      </c>
      <c r="AL114">
        <v>105.1</v>
      </c>
      <c r="AO114" t="s">
        <v>1425</v>
      </c>
      <c r="AP114">
        <v>40000</v>
      </c>
      <c r="AV114">
        <v>0.65</v>
      </c>
      <c r="AW114" t="s">
        <v>74</v>
      </c>
    </row>
    <row r="115" spans="1:49">
      <c r="A115" s="1">
        <f>HYPERLINK("https://cms.ls-nyc.org/matter/dynamic-profile/view/1881427","18-1881427")</f>
        <v>0</v>
      </c>
      <c r="B115" t="s">
        <v>51</v>
      </c>
      <c r="C115" t="s">
        <v>82</v>
      </c>
      <c r="D115" t="s">
        <v>150</v>
      </c>
      <c r="E115" t="s">
        <v>111</v>
      </c>
      <c r="F115" t="s">
        <v>423</v>
      </c>
      <c r="G115" t="s">
        <v>1477</v>
      </c>
      <c r="H115" t="s">
        <v>2602</v>
      </c>
      <c r="I115">
        <v>54</v>
      </c>
      <c r="J115" t="s">
        <v>4222</v>
      </c>
      <c r="K115">
        <v>11432</v>
      </c>
      <c r="L115" t="s">
        <v>4275</v>
      </c>
      <c r="M115" t="s">
        <v>4275</v>
      </c>
      <c r="O115" t="s">
        <v>4282</v>
      </c>
      <c r="P115" t="s">
        <v>4398</v>
      </c>
      <c r="Q115" t="s">
        <v>5732</v>
      </c>
      <c r="R115" t="s">
        <v>5752</v>
      </c>
      <c r="S115" t="s">
        <v>5759</v>
      </c>
      <c r="T115" t="s">
        <v>4276</v>
      </c>
      <c r="V115" t="s">
        <v>5767</v>
      </c>
      <c r="W115" t="s">
        <v>5772</v>
      </c>
      <c r="X115" t="s">
        <v>150</v>
      </c>
      <c r="Y115">
        <v>2000</v>
      </c>
      <c r="Z115" t="s">
        <v>5803</v>
      </c>
      <c r="AA115" t="s">
        <v>5804</v>
      </c>
      <c r="AB115" t="s">
        <v>5821</v>
      </c>
      <c r="AC115" t="s">
        <v>5943</v>
      </c>
      <c r="AD115" t="s">
        <v>4700</v>
      </c>
      <c r="AE115" t="s">
        <v>7951</v>
      </c>
      <c r="AF115">
        <v>52</v>
      </c>
      <c r="AG115" t="s">
        <v>9269</v>
      </c>
      <c r="AH115" t="s">
        <v>4280</v>
      </c>
      <c r="AI115">
        <v>3</v>
      </c>
      <c r="AJ115">
        <v>3</v>
      </c>
      <c r="AK115">
        <v>1</v>
      </c>
      <c r="AL115">
        <v>107.57</v>
      </c>
      <c r="AO115" t="s">
        <v>1425</v>
      </c>
      <c r="AP115">
        <v>27000</v>
      </c>
      <c r="AV115">
        <v>0.3</v>
      </c>
      <c r="AW115" t="s">
        <v>73</v>
      </c>
    </row>
    <row r="116" spans="1:49">
      <c r="A116" s="1">
        <f>HYPERLINK("https://cms.ls-nyc.org/matter/dynamic-profile/view/1881431","18-1881431")</f>
        <v>0</v>
      </c>
      <c r="B116" t="s">
        <v>51</v>
      </c>
      <c r="C116" t="s">
        <v>82</v>
      </c>
      <c r="D116" t="s">
        <v>150</v>
      </c>
      <c r="E116" t="s">
        <v>268</v>
      </c>
      <c r="F116" t="s">
        <v>424</v>
      </c>
      <c r="G116" t="s">
        <v>1478</v>
      </c>
      <c r="H116" t="s">
        <v>2603</v>
      </c>
      <c r="I116">
        <v>42</v>
      </c>
      <c r="J116" t="s">
        <v>4251</v>
      </c>
      <c r="K116">
        <v>11377</v>
      </c>
      <c r="L116" t="s">
        <v>4275</v>
      </c>
      <c r="M116" t="s">
        <v>4275</v>
      </c>
      <c r="O116" t="s">
        <v>4282</v>
      </c>
      <c r="P116" t="s">
        <v>4399</v>
      </c>
      <c r="Q116" t="s">
        <v>5732</v>
      </c>
      <c r="R116" t="s">
        <v>5753</v>
      </c>
      <c r="S116" t="s">
        <v>5759</v>
      </c>
      <c r="T116" t="s">
        <v>4276</v>
      </c>
      <c r="V116" t="s">
        <v>5767</v>
      </c>
      <c r="X116" t="s">
        <v>268</v>
      </c>
      <c r="Y116">
        <v>1465</v>
      </c>
      <c r="Z116" t="s">
        <v>5803</v>
      </c>
      <c r="AA116" t="s">
        <v>5804</v>
      </c>
      <c r="AB116" t="s">
        <v>5821</v>
      </c>
      <c r="AC116" t="s">
        <v>5944</v>
      </c>
      <c r="AD116" t="s">
        <v>7333</v>
      </c>
      <c r="AE116" t="s">
        <v>7952</v>
      </c>
      <c r="AF116">
        <v>20</v>
      </c>
      <c r="AH116" t="s">
        <v>4280</v>
      </c>
      <c r="AI116">
        <v>6</v>
      </c>
      <c r="AJ116">
        <v>2</v>
      </c>
      <c r="AK116">
        <v>1</v>
      </c>
      <c r="AL116">
        <v>107.8</v>
      </c>
      <c r="AO116" t="s">
        <v>1425</v>
      </c>
      <c r="AP116">
        <v>22400</v>
      </c>
      <c r="AV116">
        <v>0.5</v>
      </c>
      <c r="AW116" t="s">
        <v>54</v>
      </c>
    </row>
    <row r="117" spans="1:49">
      <c r="A117" s="1">
        <f>HYPERLINK("https://cms.ls-nyc.org/matter/dynamic-profile/view/1875723","18-1875723")</f>
        <v>0</v>
      </c>
      <c r="B117" t="s">
        <v>51</v>
      </c>
      <c r="C117" t="s">
        <v>82</v>
      </c>
      <c r="D117" t="s">
        <v>151</v>
      </c>
      <c r="E117" t="s">
        <v>144</v>
      </c>
      <c r="F117" t="s">
        <v>425</v>
      </c>
      <c r="G117" t="s">
        <v>1479</v>
      </c>
      <c r="H117" t="s">
        <v>2604</v>
      </c>
      <c r="I117" t="s">
        <v>3890</v>
      </c>
      <c r="J117" t="s">
        <v>4240</v>
      </c>
      <c r="K117">
        <v>11373</v>
      </c>
      <c r="L117" t="s">
        <v>4275</v>
      </c>
      <c r="M117" t="s">
        <v>4275</v>
      </c>
      <c r="O117" t="s">
        <v>4281</v>
      </c>
      <c r="P117" t="s">
        <v>4400</v>
      </c>
      <c r="Q117" t="s">
        <v>5732</v>
      </c>
      <c r="R117" t="s">
        <v>5751</v>
      </c>
      <c r="S117" t="s">
        <v>5758</v>
      </c>
      <c r="T117" t="s">
        <v>4276</v>
      </c>
      <c r="V117" t="s">
        <v>5767</v>
      </c>
      <c r="W117" t="s">
        <v>5772</v>
      </c>
      <c r="X117" t="s">
        <v>151</v>
      </c>
      <c r="Y117">
        <v>640</v>
      </c>
      <c r="Z117" t="s">
        <v>5803</v>
      </c>
      <c r="AA117" t="s">
        <v>5810</v>
      </c>
      <c r="AB117" t="s">
        <v>5822</v>
      </c>
      <c r="AC117" t="s">
        <v>5945</v>
      </c>
      <c r="AD117" t="s">
        <v>4700</v>
      </c>
      <c r="AE117" t="s">
        <v>7953</v>
      </c>
      <c r="AF117">
        <v>3</v>
      </c>
      <c r="AG117" t="s">
        <v>9269</v>
      </c>
      <c r="AH117" t="s">
        <v>4280</v>
      </c>
      <c r="AI117">
        <v>1</v>
      </c>
      <c r="AJ117">
        <v>2</v>
      </c>
      <c r="AK117">
        <v>0</v>
      </c>
      <c r="AL117">
        <v>109.36</v>
      </c>
      <c r="AO117" t="s">
        <v>9304</v>
      </c>
      <c r="AP117">
        <v>18000</v>
      </c>
      <c r="AR117" t="s">
        <v>9327</v>
      </c>
      <c r="AS117" t="s">
        <v>9336</v>
      </c>
      <c r="AT117" t="s">
        <v>9370</v>
      </c>
      <c r="AU117" t="s">
        <v>9415</v>
      </c>
      <c r="AV117">
        <v>12.9</v>
      </c>
      <c r="AW117" t="s">
        <v>51</v>
      </c>
    </row>
    <row r="118" spans="1:49">
      <c r="A118" s="1">
        <f>HYPERLINK("https://cms.ls-nyc.org/matter/dynamic-profile/view/1888096","19-1888096")</f>
        <v>0</v>
      </c>
      <c r="B118" t="s">
        <v>51</v>
      </c>
      <c r="C118" t="s">
        <v>83</v>
      </c>
      <c r="D118" t="s">
        <v>152</v>
      </c>
      <c r="F118" t="s">
        <v>426</v>
      </c>
      <c r="G118" t="s">
        <v>1480</v>
      </c>
      <c r="H118" t="s">
        <v>2605</v>
      </c>
      <c r="I118" t="s">
        <v>3866</v>
      </c>
      <c r="J118" t="s">
        <v>4251</v>
      </c>
      <c r="K118">
        <v>11377</v>
      </c>
      <c r="L118" t="s">
        <v>4275</v>
      </c>
      <c r="M118" t="s">
        <v>4275</v>
      </c>
      <c r="O118" t="s">
        <v>4282</v>
      </c>
      <c r="P118" t="s">
        <v>4401</v>
      </c>
      <c r="Q118" t="s">
        <v>5732</v>
      </c>
      <c r="R118" t="s">
        <v>5752</v>
      </c>
      <c r="T118" t="s">
        <v>4276</v>
      </c>
      <c r="V118" t="s">
        <v>5767</v>
      </c>
      <c r="Y118">
        <v>0</v>
      </c>
      <c r="Z118" t="s">
        <v>5803</v>
      </c>
      <c r="AA118" t="s">
        <v>5804</v>
      </c>
      <c r="AC118" t="s">
        <v>5946</v>
      </c>
      <c r="AE118" t="s">
        <v>7954</v>
      </c>
      <c r="AF118">
        <v>0</v>
      </c>
      <c r="AI118">
        <v>0</v>
      </c>
      <c r="AJ118">
        <v>2</v>
      </c>
      <c r="AK118">
        <v>0</v>
      </c>
      <c r="AL118">
        <v>115.13</v>
      </c>
      <c r="AO118" t="s">
        <v>1425</v>
      </c>
      <c r="AP118">
        <v>18950</v>
      </c>
      <c r="AV118">
        <v>0.6</v>
      </c>
      <c r="AW118" t="s">
        <v>54</v>
      </c>
    </row>
    <row r="119" spans="1:49">
      <c r="A119" s="1">
        <f>HYPERLINK("https://cms.ls-nyc.org/matter/dynamic-profile/view/1881438","18-1881438")</f>
        <v>0</v>
      </c>
      <c r="B119" t="s">
        <v>51</v>
      </c>
      <c r="C119" t="s">
        <v>82</v>
      </c>
      <c r="D119" t="s">
        <v>150</v>
      </c>
      <c r="E119" t="s">
        <v>274</v>
      </c>
      <c r="F119" t="s">
        <v>427</v>
      </c>
      <c r="G119" t="s">
        <v>1481</v>
      </c>
      <c r="H119" t="s">
        <v>2606</v>
      </c>
      <c r="I119" t="s">
        <v>3856</v>
      </c>
      <c r="J119" t="s">
        <v>4232</v>
      </c>
      <c r="K119">
        <v>11104</v>
      </c>
      <c r="L119" t="s">
        <v>4275</v>
      </c>
      <c r="M119" t="s">
        <v>4275</v>
      </c>
      <c r="O119" t="s">
        <v>4282</v>
      </c>
      <c r="P119" t="s">
        <v>4402</v>
      </c>
      <c r="Q119" t="s">
        <v>5731</v>
      </c>
      <c r="R119" t="s">
        <v>5752</v>
      </c>
      <c r="S119" t="s">
        <v>5759</v>
      </c>
      <c r="V119" t="s">
        <v>5767</v>
      </c>
      <c r="W119" t="s">
        <v>5773</v>
      </c>
      <c r="X119" t="s">
        <v>150</v>
      </c>
      <c r="Y119">
        <v>1350.37</v>
      </c>
      <c r="Z119" t="s">
        <v>5803</v>
      </c>
      <c r="AA119" t="s">
        <v>5804</v>
      </c>
      <c r="AB119" t="s">
        <v>5821</v>
      </c>
      <c r="AC119" t="s">
        <v>5853</v>
      </c>
      <c r="AE119" t="s">
        <v>7955</v>
      </c>
      <c r="AF119">
        <v>6</v>
      </c>
      <c r="AG119" t="s">
        <v>9272</v>
      </c>
      <c r="AH119" t="s">
        <v>4280</v>
      </c>
      <c r="AI119">
        <v>14</v>
      </c>
      <c r="AJ119">
        <v>1</v>
      </c>
      <c r="AK119">
        <v>0</v>
      </c>
      <c r="AL119">
        <v>123.56</v>
      </c>
      <c r="AO119" t="s">
        <v>1425</v>
      </c>
      <c r="AP119">
        <v>15000</v>
      </c>
      <c r="AV119">
        <v>0.3</v>
      </c>
      <c r="AW119" t="s">
        <v>73</v>
      </c>
    </row>
    <row r="120" spans="1:49">
      <c r="A120" s="1">
        <f>HYPERLINK("https://cms.ls-nyc.org/matter/dynamic-profile/view/1873566","18-1873566")</f>
        <v>0</v>
      </c>
      <c r="B120" t="s">
        <v>51</v>
      </c>
      <c r="C120" t="s">
        <v>82</v>
      </c>
      <c r="D120" t="s">
        <v>148</v>
      </c>
      <c r="E120" t="s">
        <v>278</v>
      </c>
      <c r="F120" t="s">
        <v>428</v>
      </c>
      <c r="G120" t="s">
        <v>1482</v>
      </c>
      <c r="H120" t="s">
        <v>2607</v>
      </c>
      <c r="I120" t="s">
        <v>3899</v>
      </c>
      <c r="J120" t="s">
        <v>4229</v>
      </c>
      <c r="K120">
        <v>11355</v>
      </c>
      <c r="L120" t="s">
        <v>4275</v>
      </c>
      <c r="M120" t="s">
        <v>4275</v>
      </c>
      <c r="O120" t="s">
        <v>4282</v>
      </c>
      <c r="P120" t="s">
        <v>4403</v>
      </c>
      <c r="Q120" t="s">
        <v>5734</v>
      </c>
      <c r="R120" t="s">
        <v>5751</v>
      </c>
      <c r="S120" t="s">
        <v>5758</v>
      </c>
      <c r="T120" t="s">
        <v>4276</v>
      </c>
      <c r="V120" t="s">
        <v>5767</v>
      </c>
      <c r="W120" t="s">
        <v>5772</v>
      </c>
      <c r="X120" t="s">
        <v>148</v>
      </c>
      <c r="Y120">
        <v>2600</v>
      </c>
      <c r="Z120" t="s">
        <v>5803</v>
      </c>
      <c r="AA120" t="s">
        <v>5811</v>
      </c>
      <c r="AB120" t="s">
        <v>5825</v>
      </c>
      <c r="AC120" t="s">
        <v>5947</v>
      </c>
      <c r="AD120" t="s">
        <v>4280</v>
      </c>
      <c r="AE120" t="s">
        <v>7956</v>
      </c>
      <c r="AF120">
        <v>99</v>
      </c>
      <c r="AG120" t="s">
        <v>9270</v>
      </c>
      <c r="AH120" t="s">
        <v>4280</v>
      </c>
      <c r="AI120">
        <v>1</v>
      </c>
      <c r="AJ120">
        <v>1</v>
      </c>
      <c r="AK120">
        <v>0</v>
      </c>
      <c r="AL120">
        <v>164.74</v>
      </c>
      <c r="AO120" t="s">
        <v>9304</v>
      </c>
      <c r="AP120">
        <v>20000</v>
      </c>
      <c r="AR120" t="s">
        <v>9326</v>
      </c>
      <c r="AS120" t="s">
        <v>9336</v>
      </c>
      <c r="AT120" t="s">
        <v>9369</v>
      </c>
      <c r="AU120" t="s">
        <v>9416</v>
      </c>
      <c r="AV120">
        <v>6.75</v>
      </c>
      <c r="AW120" t="s">
        <v>73</v>
      </c>
    </row>
    <row r="121" spans="1:49">
      <c r="A121" s="1">
        <f>HYPERLINK("https://cms.ls-nyc.org/matter/dynamic-profile/view/1873421","18-1873421")</f>
        <v>0</v>
      </c>
      <c r="B121" t="s">
        <v>51</v>
      </c>
      <c r="C121" t="s">
        <v>82</v>
      </c>
      <c r="D121" t="s">
        <v>153</v>
      </c>
      <c r="E121" t="s">
        <v>257</v>
      </c>
      <c r="F121" t="s">
        <v>429</v>
      </c>
      <c r="G121" t="s">
        <v>1483</v>
      </c>
      <c r="H121" t="s">
        <v>2608</v>
      </c>
      <c r="I121" t="s">
        <v>3842</v>
      </c>
      <c r="J121" t="s">
        <v>4241</v>
      </c>
      <c r="K121">
        <v>11368</v>
      </c>
      <c r="L121" t="s">
        <v>4275</v>
      </c>
      <c r="M121" t="s">
        <v>4275</v>
      </c>
      <c r="O121" t="s">
        <v>4282</v>
      </c>
      <c r="P121" t="s">
        <v>4404</v>
      </c>
      <c r="Q121" t="s">
        <v>5731</v>
      </c>
      <c r="R121" t="s">
        <v>5753</v>
      </c>
      <c r="S121" t="s">
        <v>5759</v>
      </c>
      <c r="T121" t="s">
        <v>4276</v>
      </c>
      <c r="V121" t="s">
        <v>5767</v>
      </c>
      <c r="W121" t="s">
        <v>5772</v>
      </c>
      <c r="X121" t="s">
        <v>153</v>
      </c>
      <c r="Y121">
        <v>1950</v>
      </c>
      <c r="Z121" t="s">
        <v>5803</v>
      </c>
      <c r="AA121" t="s">
        <v>5804</v>
      </c>
      <c r="AB121" t="s">
        <v>5821</v>
      </c>
      <c r="AC121" t="s">
        <v>5948</v>
      </c>
      <c r="AD121" t="s">
        <v>7334</v>
      </c>
      <c r="AE121" t="s">
        <v>7957</v>
      </c>
      <c r="AF121">
        <v>928</v>
      </c>
      <c r="AG121" t="s">
        <v>9272</v>
      </c>
      <c r="AH121" t="s">
        <v>4280</v>
      </c>
      <c r="AI121">
        <v>15</v>
      </c>
      <c r="AJ121">
        <v>2</v>
      </c>
      <c r="AK121">
        <v>1</v>
      </c>
      <c r="AL121">
        <v>178.9</v>
      </c>
      <c r="AO121" t="s">
        <v>9298</v>
      </c>
      <c r="AP121">
        <v>37176</v>
      </c>
      <c r="AV121">
        <v>1.65</v>
      </c>
      <c r="AW121" t="s">
        <v>73</v>
      </c>
    </row>
    <row r="122" spans="1:49">
      <c r="A122" s="1">
        <f>HYPERLINK("https://cms.ls-nyc.org/matter/dynamic-profile/view/1886517","18-1886517")</f>
        <v>0</v>
      </c>
      <c r="B122" t="s">
        <v>51</v>
      </c>
      <c r="C122" t="s">
        <v>82</v>
      </c>
      <c r="D122" t="s">
        <v>154</v>
      </c>
      <c r="E122" t="s">
        <v>154</v>
      </c>
      <c r="F122" t="s">
        <v>430</v>
      </c>
      <c r="G122" t="s">
        <v>1484</v>
      </c>
      <c r="H122" t="s">
        <v>2609</v>
      </c>
      <c r="I122" t="s">
        <v>3900</v>
      </c>
      <c r="J122" t="s">
        <v>4240</v>
      </c>
      <c r="K122">
        <v>11373</v>
      </c>
      <c r="L122" t="s">
        <v>4275</v>
      </c>
      <c r="M122" t="s">
        <v>4275</v>
      </c>
      <c r="O122" t="s">
        <v>4281</v>
      </c>
      <c r="P122" t="s">
        <v>4405</v>
      </c>
      <c r="Q122" t="s">
        <v>5732</v>
      </c>
      <c r="R122" t="s">
        <v>5754</v>
      </c>
      <c r="S122" t="s">
        <v>5763</v>
      </c>
      <c r="T122" t="s">
        <v>4276</v>
      </c>
      <c r="V122" t="s">
        <v>5767</v>
      </c>
      <c r="W122" t="s">
        <v>5772</v>
      </c>
      <c r="X122" t="s">
        <v>154</v>
      </c>
      <c r="Y122">
        <v>2000</v>
      </c>
      <c r="Z122" t="s">
        <v>5803</v>
      </c>
      <c r="AA122" t="s">
        <v>5805</v>
      </c>
      <c r="AB122" t="s">
        <v>5821</v>
      </c>
      <c r="AC122" t="s">
        <v>5949</v>
      </c>
      <c r="AE122" t="s">
        <v>7958</v>
      </c>
      <c r="AF122">
        <v>24</v>
      </c>
      <c r="AG122" t="s">
        <v>9269</v>
      </c>
      <c r="AI122">
        <v>2</v>
      </c>
      <c r="AJ122">
        <v>2</v>
      </c>
      <c r="AK122">
        <v>1</v>
      </c>
      <c r="AL122">
        <v>327.24</v>
      </c>
      <c r="AO122" t="s">
        <v>1425</v>
      </c>
      <c r="AP122">
        <v>68000</v>
      </c>
      <c r="AV122">
        <v>0.4</v>
      </c>
      <c r="AW122" t="s">
        <v>51</v>
      </c>
    </row>
    <row r="123" spans="1:49">
      <c r="A123" s="1">
        <f>HYPERLINK("https://cms.ls-nyc.org/matter/dynamic-profile/view/1897809","19-1897809")</f>
        <v>0</v>
      </c>
      <c r="B123" t="s">
        <v>52</v>
      </c>
      <c r="C123" t="s">
        <v>82</v>
      </c>
      <c r="D123" t="s">
        <v>155</v>
      </c>
      <c r="E123" t="s">
        <v>95</v>
      </c>
      <c r="F123" t="s">
        <v>431</v>
      </c>
      <c r="G123" t="s">
        <v>1485</v>
      </c>
      <c r="H123" t="s">
        <v>2610</v>
      </c>
      <c r="I123" t="s">
        <v>3901</v>
      </c>
      <c r="J123" t="s">
        <v>4251</v>
      </c>
      <c r="K123">
        <v>11377</v>
      </c>
      <c r="L123" t="s">
        <v>4275</v>
      </c>
      <c r="M123" t="s">
        <v>4275</v>
      </c>
      <c r="N123" t="s">
        <v>4278</v>
      </c>
      <c r="O123" t="s">
        <v>4283</v>
      </c>
      <c r="Q123" t="s">
        <v>5738</v>
      </c>
      <c r="R123" t="s">
        <v>5754</v>
      </c>
      <c r="S123" t="s">
        <v>5763</v>
      </c>
      <c r="T123" t="s">
        <v>4276</v>
      </c>
      <c r="V123" t="s">
        <v>5767</v>
      </c>
      <c r="X123" t="s">
        <v>155</v>
      </c>
      <c r="Y123">
        <v>1024.65</v>
      </c>
      <c r="Z123" t="s">
        <v>5803</v>
      </c>
      <c r="AA123" t="s">
        <v>5812</v>
      </c>
      <c r="AB123" t="s">
        <v>5826</v>
      </c>
      <c r="AC123" t="s">
        <v>5950</v>
      </c>
      <c r="AE123" t="s">
        <v>7959</v>
      </c>
      <c r="AF123">
        <v>39</v>
      </c>
      <c r="AG123" t="s">
        <v>9272</v>
      </c>
      <c r="AH123" t="s">
        <v>4280</v>
      </c>
      <c r="AI123">
        <v>26</v>
      </c>
      <c r="AJ123">
        <v>1</v>
      </c>
      <c r="AK123">
        <v>0</v>
      </c>
      <c r="AL123">
        <v>0</v>
      </c>
      <c r="AO123" t="s">
        <v>9298</v>
      </c>
      <c r="AP123">
        <v>0</v>
      </c>
      <c r="AT123" t="s">
        <v>9369</v>
      </c>
      <c r="AU123" t="s">
        <v>9417</v>
      </c>
      <c r="AV123">
        <v>0.5</v>
      </c>
      <c r="AW123" t="s">
        <v>52</v>
      </c>
    </row>
    <row r="124" spans="1:49">
      <c r="A124" s="1">
        <f>HYPERLINK("https://cms.ls-nyc.org/matter/dynamic-profile/view/1888077","19-1888077")</f>
        <v>0</v>
      </c>
      <c r="B124" t="s">
        <v>52</v>
      </c>
      <c r="C124" t="s">
        <v>82</v>
      </c>
      <c r="D124" t="s">
        <v>152</v>
      </c>
      <c r="E124" t="s">
        <v>291</v>
      </c>
      <c r="F124" t="s">
        <v>432</v>
      </c>
      <c r="G124" t="s">
        <v>1486</v>
      </c>
      <c r="H124" t="s">
        <v>2611</v>
      </c>
      <c r="I124" t="s">
        <v>3902</v>
      </c>
      <c r="J124" t="s">
        <v>4239</v>
      </c>
      <c r="K124">
        <v>11420</v>
      </c>
      <c r="L124" t="s">
        <v>4275</v>
      </c>
      <c r="M124" t="s">
        <v>4275</v>
      </c>
      <c r="O124" t="s">
        <v>4282</v>
      </c>
      <c r="P124" t="s">
        <v>4406</v>
      </c>
      <c r="Q124" t="s">
        <v>5732</v>
      </c>
      <c r="R124" t="s">
        <v>5753</v>
      </c>
      <c r="S124" t="s">
        <v>5759</v>
      </c>
      <c r="T124" t="s">
        <v>4276</v>
      </c>
      <c r="V124" t="s">
        <v>5767</v>
      </c>
      <c r="W124" t="s">
        <v>5772</v>
      </c>
      <c r="X124" t="s">
        <v>291</v>
      </c>
      <c r="Y124">
        <v>509</v>
      </c>
      <c r="Z124" t="s">
        <v>5803</v>
      </c>
      <c r="AA124" t="s">
        <v>5804</v>
      </c>
      <c r="AB124" t="s">
        <v>5821</v>
      </c>
      <c r="AC124" t="s">
        <v>5951</v>
      </c>
      <c r="AD124" t="s">
        <v>7335</v>
      </c>
      <c r="AE124" t="s">
        <v>7960</v>
      </c>
      <c r="AF124">
        <v>0</v>
      </c>
      <c r="AG124" t="s">
        <v>9270</v>
      </c>
      <c r="AH124" t="s">
        <v>4280</v>
      </c>
      <c r="AI124">
        <v>-1</v>
      </c>
      <c r="AJ124">
        <v>1</v>
      </c>
      <c r="AK124">
        <v>0</v>
      </c>
      <c r="AL124">
        <v>8.199999999999999</v>
      </c>
      <c r="AO124" t="s">
        <v>1425</v>
      </c>
      <c r="AP124">
        <v>996</v>
      </c>
      <c r="AV124">
        <v>1.45</v>
      </c>
      <c r="AW124" t="s">
        <v>54</v>
      </c>
    </row>
    <row r="125" spans="1:49">
      <c r="A125" s="1">
        <f>HYPERLINK("https://cms.ls-nyc.org/matter/dynamic-profile/view/1891498","19-1891498")</f>
        <v>0</v>
      </c>
      <c r="B125" t="s">
        <v>52</v>
      </c>
      <c r="C125" t="s">
        <v>82</v>
      </c>
      <c r="D125" t="s">
        <v>115</v>
      </c>
      <c r="E125" t="s">
        <v>95</v>
      </c>
      <c r="F125" t="s">
        <v>433</v>
      </c>
      <c r="G125" t="s">
        <v>1487</v>
      </c>
      <c r="H125" t="s">
        <v>2612</v>
      </c>
      <c r="I125" t="s">
        <v>3903</v>
      </c>
      <c r="J125" t="s">
        <v>4230</v>
      </c>
      <c r="K125">
        <v>11101</v>
      </c>
      <c r="L125" t="s">
        <v>4275</v>
      </c>
      <c r="M125" t="s">
        <v>4275</v>
      </c>
      <c r="N125" t="s">
        <v>4278</v>
      </c>
      <c r="O125" t="s">
        <v>4283</v>
      </c>
      <c r="P125" t="s">
        <v>4407</v>
      </c>
      <c r="Q125" t="s">
        <v>5732</v>
      </c>
      <c r="R125" t="s">
        <v>5751</v>
      </c>
      <c r="S125" t="s">
        <v>5758</v>
      </c>
      <c r="T125" t="s">
        <v>4276</v>
      </c>
      <c r="V125" t="s">
        <v>5767</v>
      </c>
      <c r="W125" t="s">
        <v>5772</v>
      </c>
      <c r="X125" t="s">
        <v>115</v>
      </c>
      <c r="Y125">
        <v>336</v>
      </c>
      <c r="Z125" t="s">
        <v>5803</v>
      </c>
      <c r="AA125" t="s">
        <v>5807</v>
      </c>
      <c r="AB125" t="s">
        <v>5820</v>
      </c>
      <c r="AC125" t="s">
        <v>5952</v>
      </c>
      <c r="AD125" t="s">
        <v>7336</v>
      </c>
      <c r="AE125" t="s">
        <v>7961</v>
      </c>
      <c r="AF125">
        <v>306</v>
      </c>
      <c r="AG125" t="s">
        <v>9276</v>
      </c>
      <c r="AH125" t="s">
        <v>9282</v>
      </c>
      <c r="AI125">
        <v>3</v>
      </c>
      <c r="AJ125">
        <v>1</v>
      </c>
      <c r="AK125">
        <v>1</v>
      </c>
      <c r="AL125">
        <v>59.14</v>
      </c>
      <c r="AO125" t="s">
        <v>1425</v>
      </c>
      <c r="AP125">
        <v>10000</v>
      </c>
      <c r="AR125" t="s">
        <v>9329</v>
      </c>
      <c r="AS125" t="s">
        <v>9339</v>
      </c>
      <c r="AT125" t="s">
        <v>9369</v>
      </c>
      <c r="AU125" t="s">
        <v>9418</v>
      </c>
      <c r="AV125">
        <v>34.9</v>
      </c>
      <c r="AW125" t="s">
        <v>52</v>
      </c>
    </row>
    <row r="126" spans="1:49">
      <c r="A126" s="1">
        <f>HYPERLINK("https://cms.ls-nyc.org/matter/dynamic-profile/view/1900776","19-1900776")</f>
        <v>0</v>
      </c>
      <c r="B126" t="s">
        <v>52</v>
      </c>
      <c r="C126" t="s">
        <v>82</v>
      </c>
      <c r="D126" t="s">
        <v>156</v>
      </c>
      <c r="E126" t="s">
        <v>156</v>
      </c>
      <c r="F126" t="s">
        <v>433</v>
      </c>
      <c r="G126" t="s">
        <v>1487</v>
      </c>
      <c r="H126" t="s">
        <v>2612</v>
      </c>
      <c r="I126" t="s">
        <v>3903</v>
      </c>
      <c r="J126" t="s">
        <v>4230</v>
      </c>
      <c r="K126">
        <v>11101</v>
      </c>
      <c r="L126" t="s">
        <v>4275</v>
      </c>
      <c r="M126" t="s">
        <v>4277</v>
      </c>
      <c r="N126" t="s">
        <v>4278</v>
      </c>
      <c r="O126" t="s">
        <v>4283</v>
      </c>
      <c r="R126" t="s">
        <v>5754</v>
      </c>
      <c r="S126" t="s">
        <v>5763</v>
      </c>
      <c r="T126" t="s">
        <v>4276</v>
      </c>
      <c r="V126" t="s">
        <v>5767</v>
      </c>
      <c r="W126" t="s">
        <v>5772</v>
      </c>
      <c r="X126" t="s">
        <v>156</v>
      </c>
      <c r="Y126">
        <v>336</v>
      </c>
      <c r="Z126" t="s">
        <v>5803</v>
      </c>
      <c r="AA126" t="s">
        <v>5807</v>
      </c>
      <c r="AB126" t="s">
        <v>5826</v>
      </c>
      <c r="AC126" t="s">
        <v>5952</v>
      </c>
      <c r="AD126" t="s">
        <v>7336</v>
      </c>
      <c r="AE126" t="s">
        <v>7961</v>
      </c>
      <c r="AF126">
        <v>306</v>
      </c>
      <c r="AG126" t="s">
        <v>9276</v>
      </c>
      <c r="AH126" t="s">
        <v>9282</v>
      </c>
      <c r="AI126">
        <v>3</v>
      </c>
      <c r="AJ126">
        <v>1</v>
      </c>
      <c r="AK126">
        <v>1</v>
      </c>
      <c r="AL126">
        <v>59.14</v>
      </c>
      <c r="AO126" t="s">
        <v>1425</v>
      </c>
      <c r="AP126">
        <v>10000</v>
      </c>
      <c r="AV126">
        <v>0.6</v>
      </c>
      <c r="AW126" t="s">
        <v>52</v>
      </c>
    </row>
    <row r="127" spans="1:49">
      <c r="A127" s="1">
        <f>HYPERLINK("https://cms.ls-nyc.org/matter/dynamic-profile/view/1893172","19-1893172")</f>
        <v>0</v>
      </c>
      <c r="B127" t="s">
        <v>52</v>
      </c>
      <c r="C127" t="s">
        <v>82</v>
      </c>
      <c r="D127" t="s">
        <v>157</v>
      </c>
      <c r="E127" t="s">
        <v>95</v>
      </c>
      <c r="F127" t="s">
        <v>434</v>
      </c>
      <c r="G127" t="s">
        <v>1488</v>
      </c>
      <c r="H127" t="s">
        <v>2613</v>
      </c>
      <c r="I127" t="s">
        <v>3904</v>
      </c>
      <c r="J127" t="s">
        <v>4243</v>
      </c>
      <c r="K127">
        <v>11691</v>
      </c>
      <c r="L127" t="s">
        <v>4275</v>
      </c>
      <c r="M127" t="s">
        <v>4275</v>
      </c>
      <c r="O127" t="s">
        <v>4283</v>
      </c>
      <c r="P127" t="s">
        <v>4408</v>
      </c>
      <c r="Q127" t="s">
        <v>5731</v>
      </c>
      <c r="R127" t="s">
        <v>5751</v>
      </c>
      <c r="S127" t="s">
        <v>5758</v>
      </c>
      <c r="T127" t="s">
        <v>4276</v>
      </c>
      <c r="V127" t="s">
        <v>5767</v>
      </c>
      <c r="W127" t="s">
        <v>5774</v>
      </c>
      <c r="X127" t="s">
        <v>157</v>
      </c>
      <c r="Y127">
        <v>940</v>
      </c>
      <c r="Z127" t="s">
        <v>5803</v>
      </c>
      <c r="AA127" t="s">
        <v>5808</v>
      </c>
      <c r="AB127" t="s">
        <v>5820</v>
      </c>
      <c r="AC127" t="s">
        <v>5953</v>
      </c>
      <c r="AD127" t="s">
        <v>7337</v>
      </c>
      <c r="AE127" t="s">
        <v>7962</v>
      </c>
      <c r="AF127">
        <v>240</v>
      </c>
      <c r="AG127" t="s">
        <v>9273</v>
      </c>
      <c r="AH127" t="s">
        <v>9282</v>
      </c>
      <c r="AI127">
        <v>4</v>
      </c>
      <c r="AJ127">
        <v>1</v>
      </c>
      <c r="AK127">
        <v>0</v>
      </c>
      <c r="AL127">
        <v>62.74</v>
      </c>
      <c r="AO127" t="s">
        <v>1425</v>
      </c>
      <c r="AP127">
        <v>7836</v>
      </c>
      <c r="AR127" t="s">
        <v>9329</v>
      </c>
      <c r="AS127" t="s">
        <v>9336</v>
      </c>
      <c r="AT127" t="s">
        <v>9369</v>
      </c>
      <c r="AU127" t="s">
        <v>9419</v>
      </c>
      <c r="AV127">
        <v>0.45</v>
      </c>
      <c r="AW127" t="s">
        <v>54</v>
      </c>
    </row>
    <row r="128" spans="1:49">
      <c r="A128" s="1">
        <f>HYPERLINK("https://cms.ls-nyc.org/matter/dynamic-profile/view/1900070","19-1900070")</f>
        <v>0</v>
      </c>
      <c r="B128" t="s">
        <v>52</v>
      </c>
      <c r="C128" t="s">
        <v>83</v>
      </c>
      <c r="D128" t="s">
        <v>99</v>
      </c>
      <c r="F128" t="s">
        <v>435</v>
      </c>
      <c r="G128" t="s">
        <v>1489</v>
      </c>
      <c r="H128" t="s">
        <v>2614</v>
      </c>
      <c r="I128" t="s">
        <v>3888</v>
      </c>
      <c r="J128" t="s">
        <v>4229</v>
      </c>
      <c r="K128">
        <v>11354</v>
      </c>
      <c r="L128" t="s">
        <v>4275</v>
      </c>
      <c r="M128" t="s">
        <v>4277</v>
      </c>
      <c r="N128" t="s">
        <v>4278</v>
      </c>
      <c r="O128" t="s">
        <v>4283</v>
      </c>
      <c r="P128" t="s">
        <v>4409</v>
      </c>
      <c r="Q128" t="s">
        <v>5732</v>
      </c>
      <c r="R128" t="s">
        <v>5751</v>
      </c>
      <c r="T128" t="s">
        <v>4276</v>
      </c>
      <c r="V128" t="s">
        <v>5767</v>
      </c>
      <c r="W128" t="s">
        <v>5772</v>
      </c>
      <c r="X128" t="s">
        <v>99</v>
      </c>
      <c r="Y128">
        <v>500</v>
      </c>
      <c r="Z128" t="s">
        <v>5803</v>
      </c>
      <c r="AA128" t="s">
        <v>5804</v>
      </c>
      <c r="AC128" t="s">
        <v>5954</v>
      </c>
      <c r="AE128" t="s">
        <v>7963</v>
      </c>
      <c r="AF128">
        <v>175</v>
      </c>
      <c r="AG128" t="s">
        <v>9272</v>
      </c>
      <c r="AI128">
        <v>0</v>
      </c>
      <c r="AJ128">
        <v>1</v>
      </c>
      <c r="AK128">
        <v>0</v>
      </c>
      <c r="AL128">
        <v>74.08</v>
      </c>
      <c r="AO128" t="s">
        <v>1425</v>
      </c>
      <c r="AP128">
        <v>9252</v>
      </c>
      <c r="AV128">
        <v>6.9</v>
      </c>
      <c r="AW128" t="s">
        <v>52</v>
      </c>
    </row>
    <row r="129" spans="1:49">
      <c r="A129" s="1">
        <f>HYPERLINK("https://cms.ls-nyc.org/matter/dynamic-profile/view/1891126","19-1891126")</f>
        <v>0</v>
      </c>
      <c r="B129" t="s">
        <v>52</v>
      </c>
      <c r="C129" t="s">
        <v>82</v>
      </c>
      <c r="D129" t="s">
        <v>158</v>
      </c>
      <c r="E129" t="s">
        <v>158</v>
      </c>
      <c r="F129" t="s">
        <v>436</v>
      </c>
      <c r="G129" t="s">
        <v>1490</v>
      </c>
      <c r="H129" t="s">
        <v>2615</v>
      </c>
      <c r="J129" t="s">
        <v>4253</v>
      </c>
      <c r="K129">
        <v>11422</v>
      </c>
      <c r="L129" t="s">
        <v>4275</v>
      </c>
      <c r="M129" t="s">
        <v>4275</v>
      </c>
      <c r="O129" t="s">
        <v>4282</v>
      </c>
      <c r="P129" t="s">
        <v>4410</v>
      </c>
      <c r="Q129" t="s">
        <v>5733</v>
      </c>
      <c r="R129" t="s">
        <v>5753</v>
      </c>
      <c r="S129" t="s">
        <v>5759</v>
      </c>
      <c r="T129" t="s">
        <v>4276</v>
      </c>
      <c r="V129" t="s">
        <v>5767</v>
      </c>
      <c r="W129" t="s">
        <v>5772</v>
      </c>
      <c r="X129" t="s">
        <v>158</v>
      </c>
      <c r="Y129">
        <v>1400</v>
      </c>
      <c r="Z129" t="s">
        <v>5803</v>
      </c>
      <c r="AA129" t="s">
        <v>5804</v>
      </c>
      <c r="AB129" t="s">
        <v>5821</v>
      </c>
      <c r="AC129" t="s">
        <v>5955</v>
      </c>
      <c r="AE129" t="s">
        <v>7964</v>
      </c>
      <c r="AF129">
        <v>2</v>
      </c>
      <c r="AG129" t="s">
        <v>9269</v>
      </c>
      <c r="AH129" t="s">
        <v>4280</v>
      </c>
      <c r="AI129">
        <v>5</v>
      </c>
      <c r="AJ129">
        <v>3</v>
      </c>
      <c r="AK129">
        <v>0</v>
      </c>
      <c r="AL129">
        <v>75.01000000000001</v>
      </c>
      <c r="AO129" t="s">
        <v>1425</v>
      </c>
      <c r="AP129">
        <v>16000</v>
      </c>
      <c r="AV129">
        <v>0.55</v>
      </c>
      <c r="AW129" t="s">
        <v>52</v>
      </c>
    </row>
    <row r="130" spans="1:49">
      <c r="A130" s="1">
        <f>HYPERLINK("https://cms.ls-nyc.org/matter/dynamic-profile/view/1889431","19-1889431")</f>
        <v>0</v>
      </c>
      <c r="B130" t="s">
        <v>52</v>
      </c>
      <c r="C130" t="s">
        <v>82</v>
      </c>
      <c r="D130" t="s">
        <v>159</v>
      </c>
      <c r="E130" t="s">
        <v>100</v>
      </c>
      <c r="F130" t="s">
        <v>437</v>
      </c>
      <c r="G130" t="s">
        <v>1491</v>
      </c>
      <c r="H130" t="s">
        <v>2616</v>
      </c>
      <c r="I130" t="s">
        <v>3905</v>
      </c>
      <c r="J130" t="s">
        <v>4235</v>
      </c>
      <c r="K130">
        <v>11421</v>
      </c>
      <c r="L130" t="s">
        <v>4276</v>
      </c>
      <c r="M130" t="s">
        <v>4275</v>
      </c>
      <c r="O130" t="s">
        <v>4282</v>
      </c>
      <c r="P130" t="s">
        <v>4411</v>
      </c>
      <c r="Q130" t="s">
        <v>5733</v>
      </c>
      <c r="R130" t="s">
        <v>5753</v>
      </c>
      <c r="S130" t="s">
        <v>5759</v>
      </c>
      <c r="T130" t="s">
        <v>4276</v>
      </c>
      <c r="V130" t="s">
        <v>5767</v>
      </c>
      <c r="W130" t="s">
        <v>5772</v>
      </c>
      <c r="Y130">
        <v>2525</v>
      </c>
      <c r="Z130" t="s">
        <v>5803</v>
      </c>
      <c r="AA130" t="s">
        <v>5804</v>
      </c>
      <c r="AB130" t="s">
        <v>5821</v>
      </c>
      <c r="AC130" t="s">
        <v>5956</v>
      </c>
      <c r="AE130" t="s">
        <v>7965</v>
      </c>
      <c r="AF130">
        <v>2</v>
      </c>
      <c r="AH130" t="s">
        <v>4280</v>
      </c>
      <c r="AI130">
        <v>0</v>
      </c>
      <c r="AJ130">
        <v>2</v>
      </c>
      <c r="AK130">
        <v>4</v>
      </c>
      <c r="AL130">
        <v>83.47</v>
      </c>
      <c r="AO130" t="s">
        <v>1425</v>
      </c>
      <c r="AP130">
        <v>28872</v>
      </c>
      <c r="AV130">
        <v>0.25</v>
      </c>
      <c r="AW130" t="s">
        <v>73</v>
      </c>
    </row>
    <row r="131" spans="1:49">
      <c r="A131" s="1">
        <f>HYPERLINK("https://cms.ls-nyc.org/matter/dynamic-profile/view/1892251","19-1892251")</f>
        <v>0</v>
      </c>
      <c r="B131" t="s">
        <v>52</v>
      </c>
      <c r="C131" t="s">
        <v>82</v>
      </c>
      <c r="D131" t="s">
        <v>160</v>
      </c>
      <c r="E131" t="s">
        <v>161</v>
      </c>
      <c r="F131" t="s">
        <v>438</v>
      </c>
      <c r="G131" t="s">
        <v>1492</v>
      </c>
      <c r="H131" t="s">
        <v>2617</v>
      </c>
      <c r="I131" t="s">
        <v>3906</v>
      </c>
      <c r="J131" t="s">
        <v>4254</v>
      </c>
      <c r="K131">
        <v>11692</v>
      </c>
      <c r="L131" t="s">
        <v>4275</v>
      </c>
      <c r="M131" t="s">
        <v>4277</v>
      </c>
      <c r="N131" t="s">
        <v>4278</v>
      </c>
      <c r="O131" t="s">
        <v>4283</v>
      </c>
      <c r="P131" t="s">
        <v>4412</v>
      </c>
      <c r="Q131" t="s">
        <v>5731</v>
      </c>
      <c r="R131" t="s">
        <v>5753</v>
      </c>
      <c r="S131" t="s">
        <v>5759</v>
      </c>
      <c r="T131" t="s">
        <v>4276</v>
      </c>
      <c r="V131" t="s">
        <v>5767</v>
      </c>
      <c r="W131" t="s">
        <v>5772</v>
      </c>
      <c r="X131" t="s">
        <v>161</v>
      </c>
      <c r="Y131">
        <v>1106</v>
      </c>
      <c r="Z131" t="s">
        <v>5803</v>
      </c>
      <c r="AA131" t="s">
        <v>5804</v>
      </c>
      <c r="AB131" t="s">
        <v>5821</v>
      </c>
      <c r="AC131" t="s">
        <v>5957</v>
      </c>
      <c r="AD131" t="s">
        <v>7289</v>
      </c>
      <c r="AE131" t="s">
        <v>7966</v>
      </c>
      <c r="AF131">
        <v>42</v>
      </c>
      <c r="AG131" t="s">
        <v>9272</v>
      </c>
      <c r="AH131" t="s">
        <v>4280</v>
      </c>
      <c r="AI131">
        <v>25</v>
      </c>
      <c r="AJ131">
        <v>4</v>
      </c>
      <c r="AK131">
        <v>0</v>
      </c>
      <c r="AL131">
        <v>106.02</v>
      </c>
      <c r="AO131" t="s">
        <v>9298</v>
      </c>
      <c r="AP131">
        <v>27300</v>
      </c>
      <c r="AV131">
        <v>0.95</v>
      </c>
      <c r="AW131" t="s">
        <v>74</v>
      </c>
    </row>
    <row r="132" spans="1:49">
      <c r="A132" s="1">
        <f>HYPERLINK("https://cms.ls-nyc.org/matter/dynamic-profile/view/1889309","19-1889309")</f>
        <v>0</v>
      </c>
      <c r="B132" t="s">
        <v>52</v>
      </c>
      <c r="C132" t="s">
        <v>82</v>
      </c>
      <c r="D132" t="s">
        <v>119</v>
      </c>
      <c r="E132" t="s">
        <v>95</v>
      </c>
      <c r="F132" t="s">
        <v>439</v>
      </c>
      <c r="G132" t="s">
        <v>1493</v>
      </c>
      <c r="H132" t="s">
        <v>2618</v>
      </c>
      <c r="I132" t="s">
        <v>3861</v>
      </c>
      <c r="J132" t="s">
        <v>4234</v>
      </c>
      <c r="K132">
        <v>11105</v>
      </c>
      <c r="L132" t="s">
        <v>4275</v>
      </c>
      <c r="M132" t="s">
        <v>4275</v>
      </c>
      <c r="N132" t="s">
        <v>4278</v>
      </c>
      <c r="O132" t="s">
        <v>4283</v>
      </c>
      <c r="P132" t="s">
        <v>4413</v>
      </c>
      <c r="Q132" t="s">
        <v>5731</v>
      </c>
      <c r="R132" t="s">
        <v>5751</v>
      </c>
      <c r="S132" t="s">
        <v>5758</v>
      </c>
      <c r="T132" t="s">
        <v>4276</v>
      </c>
      <c r="V132" t="s">
        <v>5767</v>
      </c>
      <c r="W132" t="s">
        <v>5772</v>
      </c>
      <c r="X132" t="s">
        <v>210</v>
      </c>
      <c r="Y132">
        <v>538</v>
      </c>
      <c r="Z132" t="s">
        <v>5803</v>
      </c>
      <c r="AA132" t="s">
        <v>5804</v>
      </c>
      <c r="AB132" t="s">
        <v>5820</v>
      </c>
      <c r="AC132" t="s">
        <v>5958</v>
      </c>
      <c r="AD132" t="s">
        <v>7338</v>
      </c>
      <c r="AE132" t="s">
        <v>7967</v>
      </c>
      <c r="AF132">
        <v>9</v>
      </c>
      <c r="AG132" t="s">
        <v>9270</v>
      </c>
      <c r="AH132" t="s">
        <v>9282</v>
      </c>
      <c r="AI132">
        <v>28</v>
      </c>
      <c r="AJ132">
        <v>2</v>
      </c>
      <c r="AK132">
        <v>0</v>
      </c>
      <c r="AL132">
        <v>107.63</v>
      </c>
      <c r="AO132" t="s">
        <v>1425</v>
      </c>
      <c r="AP132">
        <v>18200</v>
      </c>
      <c r="AR132" t="s">
        <v>9328</v>
      </c>
      <c r="AS132" t="s">
        <v>9336</v>
      </c>
      <c r="AT132" t="s">
        <v>9369</v>
      </c>
      <c r="AU132" t="s">
        <v>9420</v>
      </c>
      <c r="AV132">
        <v>13.64</v>
      </c>
      <c r="AW132" t="s">
        <v>54</v>
      </c>
    </row>
    <row r="133" spans="1:49">
      <c r="A133" s="1">
        <f>HYPERLINK("https://cms.ls-nyc.org/matter/dynamic-profile/view/1899226","19-1899226")</f>
        <v>0</v>
      </c>
      <c r="B133" t="s">
        <v>52</v>
      </c>
      <c r="C133" t="s">
        <v>82</v>
      </c>
      <c r="D133" t="s">
        <v>161</v>
      </c>
      <c r="E133" t="s">
        <v>95</v>
      </c>
      <c r="F133" t="s">
        <v>440</v>
      </c>
      <c r="G133" t="s">
        <v>1494</v>
      </c>
      <c r="H133" t="s">
        <v>2619</v>
      </c>
      <c r="I133" t="s">
        <v>3866</v>
      </c>
      <c r="J133" t="s">
        <v>4251</v>
      </c>
      <c r="K133">
        <v>11377</v>
      </c>
      <c r="L133" t="s">
        <v>4275</v>
      </c>
      <c r="M133" t="s">
        <v>4277</v>
      </c>
      <c r="N133" t="s">
        <v>4278</v>
      </c>
      <c r="O133" t="s">
        <v>4283</v>
      </c>
      <c r="P133" t="s">
        <v>4414</v>
      </c>
      <c r="Q133" t="s">
        <v>5732</v>
      </c>
      <c r="R133" t="s">
        <v>5751</v>
      </c>
      <c r="S133" t="s">
        <v>5758</v>
      </c>
      <c r="T133" t="s">
        <v>4276</v>
      </c>
      <c r="V133" t="s">
        <v>5767</v>
      </c>
      <c r="W133" t="s">
        <v>5772</v>
      </c>
      <c r="X133" t="s">
        <v>161</v>
      </c>
      <c r="Y133">
        <v>1600</v>
      </c>
      <c r="Z133" t="s">
        <v>5803</v>
      </c>
      <c r="AA133" t="s">
        <v>5804</v>
      </c>
      <c r="AB133" t="s">
        <v>5827</v>
      </c>
      <c r="AC133" t="s">
        <v>5959</v>
      </c>
      <c r="AD133" t="s">
        <v>7289</v>
      </c>
      <c r="AE133" t="s">
        <v>7968</v>
      </c>
      <c r="AF133">
        <v>2</v>
      </c>
      <c r="AG133" t="s">
        <v>9270</v>
      </c>
      <c r="AH133" t="s">
        <v>4280</v>
      </c>
      <c r="AI133">
        <v>2</v>
      </c>
      <c r="AJ133">
        <v>2</v>
      </c>
      <c r="AK133">
        <v>1</v>
      </c>
      <c r="AL133">
        <v>117.29</v>
      </c>
      <c r="AO133" t="s">
        <v>1425</v>
      </c>
      <c r="AP133">
        <v>25019</v>
      </c>
      <c r="AR133" t="s">
        <v>9327</v>
      </c>
      <c r="AS133" t="s">
        <v>9346</v>
      </c>
      <c r="AT133" t="s">
        <v>9370</v>
      </c>
      <c r="AU133" t="s">
        <v>9377</v>
      </c>
      <c r="AV133">
        <v>2.3</v>
      </c>
      <c r="AW133" t="s">
        <v>54</v>
      </c>
    </row>
    <row r="134" spans="1:49">
      <c r="A134" s="1">
        <f>HYPERLINK("https://cms.ls-nyc.org/matter/dynamic-profile/view/1889066","19-1889066")</f>
        <v>0</v>
      </c>
      <c r="B134" t="s">
        <v>52</v>
      </c>
      <c r="C134" t="s">
        <v>82</v>
      </c>
      <c r="D134" t="s">
        <v>162</v>
      </c>
      <c r="E134" t="s">
        <v>163</v>
      </c>
      <c r="F134" t="s">
        <v>441</v>
      </c>
      <c r="G134" t="s">
        <v>424</v>
      </c>
      <c r="H134" t="s">
        <v>2613</v>
      </c>
      <c r="I134" t="s">
        <v>3907</v>
      </c>
      <c r="J134" t="s">
        <v>4243</v>
      </c>
      <c r="K134">
        <v>11691</v>
      </c>
      <c r="L134" t="s">
        <v>4275</v>
      </c>
      <c r="M134" t="s">
        <v>4275</v>
      </c>
      <c r="O134" t="s">
        <v>4283</v>
      </c>
      <c r="P134" t="s">
        <v>4415</v>
      </c>
      <c r="Q134" t="s">
        <v>5731</v>
      </c>
      <c r="R134" t="s">
        <v>5751</v>
      </c>
      <c r="S134" t="s">
        <v>5758</v>
      </c>
      <c r="T134" t="s">
        <v>4276</v>
      </c>
      <c r="V134" t="s">
        <v>5767</v>
      </c>
      <c r="W134" t="s">
        <v>5774</v>
      </c>
      <c r="X134" t="s">
        <v>239</v>
      </c>
      <c r="Y134">
        <v>1174</v>
      </c>
      <c r="Z134" t="s">
        <v>5803</v>
      </c>
      <c r="AA134" t="s">
        <v>5813</v>
      </c>
      <c r="AB134" t="s">
        <v>5820</v>
      </c>
      <c r="AC134" t="s">
        <v>5960</v>
      </c>
      <c r="AE134" t="s">
        <v>7969</v>
      </c>
      <c r="AF134">
        <v>232</v>
      </c>
      <c r="AG134" t="s">
        <v>9273</v>
      </c>
      <c r="AH134" t="s">
        <v>4280</v>
      </c>
      <c r="AI134">
        <v>9</v>
      </c>
      <c r="AJ134">
        <v>1</v>
      </c>
      <c r="AK134">
        <v>0</v>
      </c>
      <c r="AL134">
        <v>124.9</v>
      </c>
      <c r="AO134" t="s">
        <v>1425</v>
      </c>
      <c r="AP134">
        <v>15600</v>
      </c>
      <c r="AR134" t="s">
        <v>9326</v>
      </c>
      <c r="AS134" t="s">
        <v>9336</v>
      </c>
      <c r="AT134" t="s">
        <v>9369</v>
      </c>
      <c r="AU134" t="s">
        <v>9389</v>
      </c>
      <c r="AV134">
        <v>1.8</v>
      </c>
      <c r="AW134" t="s">
        <v>52</v>
      </c>
    </row>
    <row r="135" spans="1:49">
      <c r="A135" s="1">
        <f>HYPERLINK("https://cms.ls-nyc.org/matter/dynamic-profile/view/1901139","19-1901139")</f>
        <v>0</v>
      </c>
      <c r="B135" t="s">
        <v>52</v>
      </c>
      <c r="C135" t="s">
        <v>83</v>
      </c>
      <c r="D135" t="s">
        <v>90</v>
      </c>
      <c r="F135" t="s">
        <v>442</v>
      </c>
      <c r="G135" t="s">
        <v>424</v>
      </c>
      <c r="H135" t="s">
        <v>2620</v>
      </c>
      <c r="I135" t="s">
        <v>3908</v>
      </c>
      <c r="J135" t="s">
        <v>4229</v>
      </c>
      <c r="K135">
        <v>11354</v>
      </c>
      <c r="L135" t="s">
        <v>4277</v>
      </c>
      <c r="M135" t="s">
        <v>4277</v>
      </c>
      <c r="O135" t="s">
        <v>4283</v>
      </c>
      <c r="P135" t="s">
        <v>4416</v>
      </c>
      <c r="Q135" t="s">
        <v>5733</v>
      </c>
      <c r="R135" t="s">
        <v>5751</v>
      </c>
      <c r="V135" t="s">
        <v>5767</v>
      </c>
      <c r="W135" t="s">
        <v>5772</v>
      </c>
      <c r="Y135">
        <v>1664.64</v>
      </c>
      <c r="Z135" t="s">
        <v>5803</v>
      </c>
      <c r="AA135" t="s">
        <v>5810</v>
      </c>
      <c r="AC135" t="s">
        <v>5961</v>
      </c>
      <c r="AD135" t="s">
        <v>7339</v>
      </c>
      <c r="AE135" t="s">
        <v>7970</v>
      </c>
      <c r="AF135">
        <v>72</v>
      </c>
      <c r="AH135" t="s">
        <v>4280</v>
      </c>
      <c r="AI135">
        <v>11</v>
      </c>
      <c r="AJ135">
        <v>3</v>
      </c>
      <c r="AK135">
        <v>0</v>
      </c>
      <c r="AL135">
        <v>131.27</v>
      </c>
      <c r="AO135" t="s">
        <v>9305</v>
      </c>
      <c r="AP135">
        <v>28000</v>
      </c>
      <c r="AV135">
        <v>3.35</v>
      </c>
      <c r="AW135" t="s">
        <v>68</v>
      </c>
    </row>
    <row r="136" spans="1:49">
      <c r="A136" s="1">
        <f>HYPERLINK("https://cms.ls-nyc.org/matter/dynamic-profile/view/1890510","19-1890510")</f>
        <v>0</v>
      </c>
      <c r="B136" t="s">
        <v>52</v>
      </c>
      <c r="C136" t="s">
        <v>82</v>
      </c>
      <c r="D136" t="s">
        <v>163</v>
      </c>
      <c r="E136" t="s">
        <v>163</v>
      </c>
      <c r="F136" t="s">
        <v>443</v>
      </c>
      <c r="G136" t="s">
        <v>1495</v>
      </c>
      <c r="H136" t="s">
        <v>2621</v>
      </c>
      <c r="I136" t="s">
        <v>3880</v>
      </c>
      <c r="J136" t="s">
        <v>4247</v>
      </c>
      <c r="K136">
        <v>11415</v>
      </c>
      <c r="L136" t="s">
        <v>4275</v>
      </c>
      <c r="M136" t="s">
        <v>4275</v>
      </c>
      <c r="O136" t="s">
        <v>4282</v>
      </c>
      <c r="P136" t="s">
        <v>4417</v>
      </c>
      <c r="Q136" t="s">
        <v>5733</v>
      </c>
      <c r="R136" t="s">
        <v>5753</v>
      </c>
      <c r="S136" t="s">
        <v>5759</v>
      </c>
      <c r="T136" t="s">
        <v>4276</v>
      </c>
      <c r="V136" t="s">
        <v>5767</v>
      </c>
      <c r="W136" t="s">
        <v>5772</v>
      </c>
      <c r="X136" t="s">
        <v>109</v>
      </c>
      <c r="Y136">
        <v>1700</v>
      </c>
      <c r="Z136" t="s">
        <v>5803</v>
      </c>
      <c r="AA136" t="s">
        <v>5804</v>
      </c>
      <c r="AB136" t="s">
        <v>5821</v>
      </c>
      <c r="AC136" t="s">
        <v>5962</v>
      </c>
      <c r="AE136" t="s">
        <v>7971</v>
      </c>
      <c r="AF136">
        <v>39</v>
      </c>
      <c r="AI136">
        <v>0</v>
      </c>
      <c r="AJ136">
        <v>1</v>
      </c>
      <c r="AK136">
        <v>0</v>
      </c>
      <c r="AL136">
        <v>131.96</v>
      </c>
      <c r="AO136" t="s">
        <v>1425</v>
      </c>
      <c r="AP136">
        <v>16482.12</v>
      </c>
      <c r="AV136">
        <v>0.55</v>
      </c>
      <c r="AW136" t="s">
        <v>52</v>
      </c>
    </row>
    <row r="137" spans="1:49">
      <c r="A137" s="1">
        <f>HYPERLINK("https://cms.ls-nyc.org/matter/dynamic-profile/view/1900309","19-1900309")</f>
        <v>0</v>
      </c>
      <c r="B137" t="s">
        <v>52</v>
      </c>
      <c r="C137" t="s">
        <v>83</v>
      </c>
      <c r="D137" t="s">
        <v>164</v>
      </c>
      <c r="F137" t="s">
        <v>444</v>
      </c>
      <c r="G137" t="s">
        <v>1496</v>
      </c>
      <c r="H137" t="s">
        <v>2622</v>
      </c>
      <c r="I137" t="s">
        <v>3909</v>
      </c>
      <c r="J137" t="s">
        <v>4229</v>
      </c>
      <c r="K137">
        <v>11358</v>
      </c>
      <c r="L137" t="s">
        <v>4275</v>
      </c>
      <c r="M137" t="s">
        <v>4277</v>
      </c>
      <c r="N137" t="s">
        <v>4278</v>
      </c>
      <c r="O137" t="s">
        <v>4283</v>
      </c>
      <c r="P137" t="s">
        <v>4418</v>
      </c>
      <c r="Q137" t="s">
        <v>5731</v>
      </c>
      <c r="R137" t="s">
        <v>5751</v>
      </c>
      <c r="T137" t="s">
        <v>4276</v>
      </c>
      <c r="V137" t="s">
        <v>5767</v>
      </c>
      <c r="X137" t="s">
        <v>87</v>
      </c>
      <c r="Y137">
        <v>2300</v>
      </c>
      <c r="Z137" t="s">
        <v>5803</v>
      </c>
      <c r="AA137" t="s">
        <v>5806</v>
      </c>
      <c r="AC137" t="s">
        <v>5963</v>
      </c>
      <c r="AD137" t="s">
        <v>7289</v>
      </c>
      <c r="AE137" t="s">
        <v>7972</v>
      </c>
      <c r="AF137">
        <v>2</v>
      </c>
      <c r="AG137" t="s">
        <v>9277</v>
      </c>
      <c r="AH137" t="s">
        <v>4280</v>
      </c>
      <c r="AI137">
        <v>1</v>
      </c>
      <c r="AJ137">
        <v>3</v>
      </c>
      <c r="AK137">
        <v>1</v>
      </c>
      <c r="AL137">
        <v>137.86</v>
      </c>
      <c r="AO137" t="s">
        <v>1425</v>
      </c>
      <c r="AP137">
        <v>35500</v>
      </c>
      <c r="AV137">
        <v>14.6</v>
      </c>
      <c r="AW137" t="s">
        <v>9550</v>
      </c>
    </row>
    <row r="138" spans="1:49">
      <c r="A138" s="1">
        <f>HYPERLINK("https://cms.ls-nyc.org/matter/dynamic-profile/view/1895730","19-1895730")</f>
        <v>0</v>
      </c>
      <c r="B138" t="s">
        <v>52</v>
      </c>
      <c r="C138" t="s">
        <v>82</v>
      </c>
      <c r="D138" t="s">
        <v>94</v>
      </c>
      <c r="E138" t="s">
        <v>161</v>
      </c>
      <c r="F138" t="s">
        <v>445</v>
      </c>
      <c r="G138" t="s">
        <v>1497</v>
      </c>
      <c r="H138" t="s">
        <v>2612</v>
      </c>
      <c r="I138" t="s">
        <v>3910</v>
      </c>
      <c r="J138" t="s">
        <v>4230</v>
      </c>
      <c r="K138">
        <v>11101</v>
      </c>
      <c r="L138" t="s">
        <v>4275</v>
      </c>
      <c r="M138" t="s">
        <v>4275</v>
      </c>
      <c r="O138" t="s">
        <v>4283</v>
      </c>
      <c r="P138" t="s">
        <v>4419</v>
      </c>
      <c r="Q138" t="s">
        <v>5731</v>
      </c>
      <c r="R138" t="s">
        <v>5753</v>
      </c>
      <c r="S138" t="s">
        <v>5759</v>
      </c>
      <c r="T138" t="s">
        <v>4276</v>
      </c>
      <c r="V138" t="s">
        <v>5767</v>
      </c>
      <c r="W138" t="s">
        <v>5773</v>
      </c>
      <c r="X138" t="s">
        <v>94</v>
      </c>
      <c r="Y138">
        <v>851.7</v>
      </c>
      <c r="Z138" t="s">
        <v>5803</v>
      </c>
      <c r="AA138" t="s">
        <v>5804</v>
      </c>
      <c r="AB138" t="s">
        <v>5821</v>
      </c>
      <c r="AC138" t="s">
        <v>5964</v>
      </c>
      <c r="AD138" t="s">
        <v>7340</v>
      </c>
      <c r="AE138" t="s">
        <v>7973</v>
      </c>
      <c r="AF138">
        <v>320</v>
      </c>
      <c r="AG138" t="s">
        <v>9272</v>
      </c>
      <c r="AH138" t="s">
        <v>4280</v>
      </c>
      <c r="AI138">
        <v>4</v>
      </c>
      <c r="AJ138">
        <v>2</v>
      </c>
      <c r="AK138">
        <v>2</v>
      </c>
      <c r="AL138">
        <v>139.81</v>
      </c>
      <c r="AO138" t="s">
        <v>1425</v>
      </c>
      <c r="AP138">
        <v>36000</v>
      </c>
      <c r="AV138">
        <v>2.1</v>
      </c>
      <c r="AW138" t="s">
        <v>54</v>
      </c>
    </row>
    <row r="139" spans="1:49">
      <c r="A139" s="1">
        <f>HYPERLINK("https://cms.ls-nyc.org/matter/dynamic-profile/view/1891939","19-1891939")</f>
        <v>0</v>
      </c>
      <c r="B139" t="s">
        <v>52</v>
      </c>
      <c r="C139" t="s">
        <v>83</v>
      </c>
      <c r="D139" t="s">
        <v>165</v>
      </c>
      <c r="F139" t="s">
        <v>446</v>
      </c>
      <c r="G139" t="s">
        <v>1498</v>
      </c>
      <c r="H139" t="s">
        <v>2623</v>
      </c>
      <c r="I139" t="s">
        <v>3888</v>
      </c>
      <c r="J139" t="s">
        <v>4243</v>
      </c>
      <c r="K139">
        <v>11691</v>
      </c>
      <c r="L139" t="s">
        <v>4275</v>
      </c>
      <c r="M139" t="s">
        <v>4275</v>
      </c>
      <c r="O139" t="s">
        <v>4283</v>
      </c>
      <c r="P139" t="s">
        <v>4420</v>
      </c>
      <c r="Q139" t="s">
        <v>5732</v>
      </c>
      <c r="R139" t="s">
        <v>5751</v>
      </c>
      <c r="T139" t="s">
        <v>4276</v>
      </c>
      <c r="V139" t="s">
        <v>5767</v>
      </c>
      <c r="W139" t="s">
        <v>5772</v>
      </c>
      <c r="X139" t="s">
        <v>210</v>
      </c>
      <c r="Y139">
        <v>700</v>
      </c>
      <c r="Z139" t="s">
        <v>5803</v>
      </c>
      <c r="AA139" t="s">
        <v>5804</v>
      </c>
      <c r="AC139" t="s">
        <v>5965</v>
      </c>
      <c r="AD139" t="s">
        <v>7341</v>
      </c>
      <c r="AE139" t="s">
        <v>7974</v>
      </c>
      <c r="AF139">
        <v>54</v>
      </c>
      <c r="AG139" t="s">
        <v>9270</v>
      </c>
      <c r="AH139" t="s">
        <v>4280</v>
      </c>
      <c r="AI139">
        <v>1</v>
      </c>
      <c r="AJ139">
        <v>1</v>
      </c>
      <c r="AK139">
        <v>0</v>
      </c>
      <c r="AL139">
        <v>140.66</v>
      </c>
      <c r="AO139" t="s">
        <v>1425</v>
      </c>
      <c r="AP139">
        <v>17568</v>
      </c>
      <c r="AV139">
        <v>13.1</v>
      </c>
      <c r="AW139" t="s">
        <v>54</v>
      </c>
    </row>
    <row r="140" spans="1:49">
      <c r="A140" s="1">
        <f>HYPERLINK("https://cms.ls-nyc.org/matter/dynamic-profile/view/1900930","19-1900930")</f>
        <v>0</v>
      </c>
      <c r="B140" t="s">
        <v>52</v>
      </c>
      <c r="C140" t="s">
        <v>83</v>
      </c>
      <c r="D140" t="s">
        <v>166</v>
      </c>
      <c r="F140" t="s">
        <v>438</v>
      </c>
      <c r="G140" t="s">
        <v>1499</v>
      </c>
      <c r="H140" t="s">
        <v>2624</v>
      </c>
      <c r="I140" t="s">
        <v>3911</v>
      </c>
      <c r="J140" t="s">
        <v>4229</v>
      </c>
      <c r="K140">
        <v>11354</v>
      </c>
      <c r="L140" t="s">
        <v>4275</v>
      </c>
      <c r="M140" t="s">
        <v>4277</v>
      </c>
      <c r="N140" t="s">
        <v>4278</v>
      </c>
      <c r="O140" t="s">
        <v>4283</v>
      </c>
      <c r="P140" t="s">
        <v>4421</v>
      </c>
      <c r="Q140" t="s">
        <v>5738</v>
      </c>
      <c r="R140" t="s">
        <v>5755</v>
      </c>
      <c r="T140" t="s">
        <v>4275</v>
      </c>
      <c r="V140" t="s">
        <v>5767</v>
      </c>
      <c r="W140" t="s">
        <v>5772</v>
      </c>
      <c r="X140" t="s">
        <v>166</v>
      </c>
      <c r="Y140">
        <v>0</v>
      </c>
      <c r="Z140" t="s">
        <v>5803</v>
      </c>
      <c r="AA140" t="s">
        <v>5811</v>
      </c>
      <c r="AC140" t="s">
        <v>5966</v>
      </c>
      <c r="AF140">
        <v>91</v>
      </c>
      <c r="AG140" t="s">
        <v>9272</v>
      </c>
      <c r="AH140" t="s">
        <v>4280</v>
      </c>
      <c r="AI140">
        <v>25</v>
      </c>
      <c r="AJ140">
        <v>2</v>
      </c>
      <c r="AK140">
        <v>0</v>
      </c>
      <c r="AL140">
        <v>141.93</v>
      </c>
      <c r="AO140" t="s">
        <v>9298</v>
      </c>
      <c r="AP140">
        <v>24000</v>
      </c>
      <c r="AV140">
        <v>1.9</v>
      </c>
      <c r="AW140" t="s">
        <v>52</v>
      </c>
    </row>
    <row r="141" spans="1:49">
      <c r="A141" s="1">
        <f>HYPERLINK("https://cms.ls-nyc.org/matter/dynamic-profile/view/1889400","19-1889400")</f>
        <v>0</v>
      </c>
      <c r="B141" t="s">
        <v>52</v>
      </c>
      <c r="C141" t="s">
        <v>83</v>
      </c>
      <c r="D141" t="s">
        <v>119</v>
      </c>
      <c r="F141" t="s">
        <v>447</v>
      </c>
      <c r="G141" t="s">
        <v>469</v>
      </c>
      <c r="H141" t="s">
        <v>2625</v>
      </c>
      <c r="I141" t="s">
        <v>3912</v>
      </c>
      <c r="J141" t="s">
        <v>4223</v>
      </c>
      <c r="K141">
        <v>11423</v>
      </c>
      <c r="L141" t="s">
        <v>4275</v>
      </c>
      <c r="M141" t="s">
        <v>4275</v>
      </c>
      <c r="O141" t="s">
        <v>4283</v>
      </c>
      <c r="P141" t="s">
        <v>4422</v>
      </c>
      <c r="Q141" t="s">
        <v>5731</v>
      </c>
      <c r="R141" t="s">
        <v>5751</v>
      </c>
      <c r="T141" t="s">
        <v>4276</v>
      </c>
      <c r="V141" t="s">
        <v>5767</v>
      </c>
      <c r="W141" t="s">
        <v>5774</v>
      </c>
      <c r="X141" t="s">
        <v>210</v>
      </c>
      <c r="Y141">
        <v>1050</v>
      </c>
      <c r="Z141" t="s">
        <v>5803</v>
      </c>
      <c r="AA141" t="s">
        <v>5804</v>
      </c>
      <c r="AC141" t="s">
        <v>5967</v>
      </c>
      <c r="AE141" t="s">
        <v>7975</v>
      </c>
      <c r="AF141">
        <v>48</v>
      </c>
      <c r="AG141" t="s">
        <v>9272</v>
      </c>
      <c r="AH141" t="s">
        <v>4280</v>
      </c>
      <c r="AI141">
        <v>3</v>
      </c>
      <c r="AJ141">
        <v>1</v>
      </c>
      <c r="AK141">
        <v>0</v>
      </c>
      <c r="AL141">
        <v>145.72</v>
      </c>
      <c r="AO141" t="s">
        <v>1425</v>
      </c>
      <c r="AP141">
        <v>18200</v>
      </c>
      <c r="AV141">
        <v>16.55</v>
      </c>
      <c r="AW141" t="s">
        <v>74</v>
      </c>
    </row>
    <row r="142" spans="1:49">
      <c r="A142" s="1">
        <f>HYPERLINK("https://cms.ls-nyc.org/matter/dynamic-profile/view/1891207","19-1891207")</f>
        <v>0</v>
      </c>
      <c r="B142" t="s">
        <v>52</v>
      </c>
      <c r="C142" t="s">
        <v>82</v>
      </c>
      <c r="D142" t="s">
        <v>167</v>
      </c>
      <c r="E142" t="s">
        <v>163</v>
      </c>
      <c r="F142" t="s">
        <v>448</v>
      </c>
      <c r="G142" t="s">
        <v>1500</v>
      </c>
      <c r="H142" t="s">
        <v>2626</v>
      </c>
      <c r="J142" t="s">
        <v>4255</v>
      </c>
      <c r="K142">
        <v>11372</v>
      </c>
      <c r="L142" t="s">
        <v>4276</v>
      </c>
      <c r="M142" t="s">
        <v>4275</v>
      </c>
      <c r="O142" t="s">
        <v>4283</v>
      </c>
      <c r="P142" t="s">
        <v>4423</v>
      </c>
      <c r="Q142" t="s">
        <v>5731</v>
      </c>
      <c r="R142" t="s">
        <v>5754</v>
      </c>
      <c r="S142" t="s">
        <v>5763</v>
      </c>
      <c r="T142" t="s">
        <v>4276</v>
      </c>
      <c r="V142" t="s">
        <v>5767</v>
      </c>
      <c r="W142" t="s">
        <v>5772</v>
      </c>
      <c r="Y142">
        <v>1010.13</v>
      </c>
      <c r="Z142" t="s">
        <v>5803</v>
      </c>
      <c r="AA142" t="s">
        <v>5804</v>
      </c>
      <c r="AB142" t="s">
        <v>5820</v>
      </c>
      <c r="AC142" t="s">
        <v>5968</v>
      </c>
      <c r="AD142" t="s">
        <v>7289</v>
      </c>
      <c r="AE142" t="s">
        <v>7976</v>
      </c>
      <c r="AF142">
        <v>50</v>
      </c>
      <c r="AG142" t="s">
        <v>9272</v>
      </c>
      <c r="AI142">
        <v>19</v>
      </c>
      <c r="AJ142">
        <v>3</v>
      </c>
      <c r="AK142">
        <v>0</v>
      </c>
      <c r="AL142">
        <v>164.09</v>
      </c>
      <c r="AO142" t="s">
        <v>9301</v>
      </c>
      <c r="AP142">
        <v>35000</v>
      </c>
      <c r="AV142">
        <v>1.6</v>
      </c>
      <c r="AW142" t="s">
        <v>78</v>
      </c>
    </row>
    <row r="143" spans="1:49">
      <c r="A143" s="1">
        <f>HYPERLINK("https://cms.ls-nyc.org/matter/dynamic-profile/view/1891952","19-1891952")</f>
        <v>0</v>
      </c>
      <c r="B143" t="s">
        <v>52</v>
      </c>
      <c r="C143" t="s">
        <v>82</v>
      </c>
      <c r="D143" t="s">
        <v>165</v>
      </c>
      <c r="E143" t="s">
        <v>95</v>
      </c>
      <c r="F143" t="s">
        <v>449</v>
      </c>
      <c r="G143" t="s">
        <v>1501</v>
      </c>
      <c r="H143" t="s">
        <v>2627</v>
      </c>
      <c r="I143" t="s">
        <v>3884</v>
      </c>
      <c r="J143" t="s">
        <v>4243</v>
      </c>
      <c r="K143">
        <v>11691</v>
      </c>
      <c r="L143" t="s">
        <v>4275</v>
      </c>
      <c r="M143" t="s">
        <v>4275</v>
      </c>
      <c r="O143" t="s">
        <v>4283</v>
      </c>
      <c r="P143" t="s">
        <v>4424</v>
      </c>
      <c r="Q143" t="s">
        <v>5731</v>
      </c>
      <c r="R143" t="s">
        <v>5751</v>
      </c>
      <c r="S143" t="s">
        <v>5758</v>
      </c>
      <c r="T143" t="s">
        <v>4276</v>
      </c>
      <c r="V143" t="s">
        <v>5767</v>
      </c>
      <c r="W143" t="s">
        <v>5771</v>
      </c>
      <c r="X143" t="s">
        <v>165</v>
      </c>
      <c r="Y143">
        <v>816</v>
      </c>
      <c r="Z143" t="s">
        <v>5803</v>
      </c>
      <c r="AA143" t="s">
        <v>5814</v>
      </c>
      <c r="AB143" t="s">
        <v>5820</v>
      </c>
      <c r="AC143" t="s">
        <v>5969</v>
      </c>
      <c r="AD143" t="s">
        <v>7289</v>
      </c>
      <c r="AE143" t="s">
        <v>7977</v>
      </c>
      <c r="AF143">
        <v>53</v>
      </c>
      <c r="AG143" t="s">
        <v>9278</v>
      </c>
      <c r="AH143" t="s">
        <v>9282</v>
      </c>
      <c r="AI143">
        <v>1</v>
      </c>
      <c r="AJ143">
        <v>1</v>
      </c>
      <c r="AK143">
        <v>1</v>
      </c>
      <c r="AL143">
        <v>200.26</v>
      </c>
      <c r="AO143" t="s">
        <v>1425</v>
      </c>
      <c r="AP143">
        <v>33864.48</v>
      </c>
      <c r="AR143" t="s">
        <v>9327</v>
      </c>
      <c r="AS143" t="s">
        <v>9336</v>
      </c>
      <c r="AT143" t="s">
        <v>9369</v>
      </c>
      <c r="AU143" t="s">
        <v>9417</v>
      </c>
      <c r="AV143">
        <v>4.35</v>
      </c>
      <c r="AW143" t="s">
        <v>52</v>
      </c>
    </row>
    <row r="144" spans="1:49">
      <c r="A144" s="1">
        <f>HYPERLINK("https://cms.ls-nyc.org/matter/dynamic-profile/view/1895111","19-1895111")</f>
        <v>0</v>
      </c>
      <c r="B144" t="s">
        <v>53</v>
      </c>
      <c r="C144" t="s">
        <v>83</v>
      </c>
      <c r="D144" t="s">
        <v>168</v>
      </c>
      <c r="F144" t="s">
        <v>450</v>
      </c>
      <c r="G144" t="s">
        <v>1502</v>
      </c>
      <c r="H144" t="s">
        <v>2613</v>
      </c>
      <c r="I144" t="s">
        <v>3913</v>
      </c>
      <c r="J144" t="s">
        <v>4243</v>
      </c>
      <c r="K144">
        <v>11691</v>
      </c>
      <c r="L144" t="s">
        <v>4275</v>
      </c>
      <c r="M144" t="s">
        <v>4275</v>
      </c>
      <c r="O144" t="s">
        <v>4283</v>
      </c>
      <c r="P144" t="s">
        <v>4425</v>
      </c>
      <c r="Q144" t="s">
        <v>5731</v>
      </c>
      <c r="R144" t="s">
        <v>5756</v>
      </c>
      <c r="T144" t="s">
        <v>4276</v>
      </c>
      <c r="V144" t="s">
        <v>5767</v>
      </c>
      <c r="W144" t="s">
        <v>5772</v>
      </c>
      <c r="X144" t="s">
        <v>185</v>
      </c>
      <c r="Y144">
        <v>0</v>
      </c>
      <c r="Z144" t="s">
        <v>5803</v>
      </c>
      <c r="AA144" t="s">
        <v>5807</v>
      </c>
      <c r="AC144" t="s">
        <v>5970</v>
      </c>
      <c r="AD144" t="s">
        <v>7342</v>
      </c>
      <c r="AE144" t="s">
        <v>7978</v>
      </c>
      <c r="AF144">
        <v>231</v>
      </c>
      <c r="AG144" t="s">
        <v>9273</v>
      </c>
      <c r="AH144" t="s">
        <v>9282</v>
      </c>
      <c r="AI144">
        <v>35</v>
      </c>
      <c r="AJ144">
        <v>1</v>
      </c>
      <c r="AK144">
        <v>3</v>
      </c>
      <c r="AL144">
        <v>0</v>
      </c>
      <c r="AO144" t="s">
        <v>1425</v>
      </c>
      <c r="AP144">
        <v>0</v>
      </c>
      <c r="AR144" t="s">
        <v>9327</v>
      </c>
      <c r="AS144" t="s">
        <v>9347</v>
      </c>
      <c r="AT144" t="s">
        <v>9369</v>
      </c>
      <c r="AU144" t="s">
        <v>9421</v>
      </c>
      <c r="AV144">
        <v>0.4</v>
      </c>
      <c r="AW144" t="s">
        <v>67</v>
      </c>
    </row>
    <row r="145" spans="1:49">
      <c r="A145" s="1">
        <f>HYPERLINK("https://cms.ls-nyc.org/matter/dynamic-profile/view/1894528","19-1894528")</f>
        <v>0</v>
      </c>
      <c r="B145" t="s">
        <v>53</v>
      </c>
      <c r="C145" t="s">
        <v>83</v>
      </c>
      <c r="D145" t="s">
        <v>169</v>
      </c>
      <c r="F145" t="s">
        <v>451</v>
      </c>
      <c r="G145" t="s">
        <v>1503</v>
      </c>
      <c r="H145" t="s">
        <v>2628</v>
      </c>
      <c r="I145" t="s">
        <v>3914</v>
      </c>
      <c r="J145" t="s">
        <v>4240</v>
      </c>
      <c r="K145">
        <v>11373</v>
      </c>
      <c r="L145" t="s">
        <v>4275</v>
      </c>
      <c r="M145" t="s">
        <v>4275</v>
      </c>
      <c r="O145" t="s">
        <v>4281</v>
      </c>
      <c r="P145" t="s">
        <v>4426</v>
      </c>
      <c r="Q145" t="s">
        <v>5731</v>
      </c>
      <c r="R145" t="s">
        <v>5751</v>
      </c>
      <c r="T145" t="s">
        <v>4276</v>
      </c>
      <c r="V145" t="s">
        <v>5767</v>
      </c>
      <c r="W145" t="s">
        <v>5771</v>
      </c>
      <c r="X145" t="s">
        <v>169</v>
      </c>
      <c r="Y145">
        <v>1034.72</v>
      </c>
      <c r="Z145" t="s">
        <v>5803</v>
      </c>
      <c r="AA145" t="s">
        <v>5804</v>
      </c>
      <c r="AC145" t="s">
        <v>5971</v>
      </c>
      <c r="AD145" t="s">
        <v>7343</v>
      </c>
      <c r="AE145" t="s">
        <v>7979</v>
      </c>
      <c r="AF145">
        <v>78</v>
      </c>
      <c r="AG145" t="s">
        <v>9272</v>
      </c>
      <c r="AH145" t="s">
        <v>4280</v>
      </c>
      <c r="AI145">
        <v>46</v>
      </c>
      <c r="AJ145">
        <v>1</v>
      </c>
      <c r="AK145">
        <v>0</v>
      </c>
      <c r="AL145">
        <v>0</v>
      </c>
      <c r="AO145" t="s">
        <v>1425</v>
      </c>
      <c r="AP145">
        <v>0</v>
      </c>
      <c r="AV145">
        <v>1.5</v>
      </c>
      <c r="AW145" t="s">
        <v>64</v>
      </c>
    </row>
    <row r="146" spans="1:49">
      <c r="A146" s="1">
        <f>HYPERLINK("https://cms.ls-nyc.org/matter/dynamic-profile/view/1881866","18-1881866")</f>
        <v>0</v>
      </c>
      <c r="B146" t="s">
        <v>53</v>
      </c>
      <c r="C146" t="s">
        <v>83</v>
      </c>
      <c r="D146" t="s">
        <v>170</v>
      </c>
      <c r="F146" t="s">
        <v>452</v>
      </c>
      <c r="G146" t="s">
        <v>1504</v>
      </c>
      <c r="H146" t="s">
        <v>2629</v>
      </c>
      <c r="I146" t="s">
        <v>3915</v>
      </c>
      <c r="J146" t="s">
        <v>4229</v>
      </c>
      <c r="K146">
        <v>11354</v>
      </c>
      <c r="L146" t="s">
        <v>4275</v>
      </c>
      <c r="M146" t="s">
        <v>4275</v>
      </c>
      <c r="O146" t="s">
        <v>4283</v>
      </c>
      <c r="P146" t="s">
        <v>4427</v>
      </c>
      <c r="Q146" t="s">
        <v>5732</v>
      </c>
      <c r="R146" t="s">
        <v>5752</v>
      </c>
      <c r="T146" t="s">
        <v>4276</v>
      </c>
      <c r="V146" t="s">
        <v>5767</v>
      </c>
      <c r="W146" t="s">
        <v>5772</v>
      </c>
      <c r="Y146">
        <v>4000</v>
      </c>
      <c r="Z146" t="s">
        <v>5803</v>
      </c>
      <c r="AA146" t="s">
        <v>5804</v>
      </c>
      <c r="AC146" t="s">
        <v>5972</v>
      </c>
      <c r="AD146" t="s">
        <v>7344</v>
      </c>
      <c r="AE146" t="s">
        <v>7980</v>
      </c>
      <c r="AF146">
        <v>24</v>
      </c>
      <c r="AG146" t="s">
        <v>9270</v>
      </c>
      <c r="AH146" t="s">
        <v>4280</v>
      </c>
      <c r="AI146">
        <v>1</v>
      </c>
      <c r="AJ146">
        <v>1</v>
      </c>
      <c r="AK146">
        <v>1</v>
      </c>
      <c r="AL146">
        <v>1.97</v>
      </c>
      <c r="AO146" t="s">
        <v>1425</v>
      </c>
      <c r="AP146">
        <v>325</v>
      </c>
      <c r="AV146">
        <v>1.55</v>
      </c>
      <c r="AW146" t="s">
        <v>54</v>
      </c>
    </row>
    <row r="147" spans="1:49">
      <c r="A147" s="1">
        <f>HYPERLINK("https://cms.ls-nyc.org/matter/dynamic-profile/view/1875004","18-1875004")</f>
        <v>0</v>
      </c>
      <c r="B147" t="s">
        <v>53</v>
      </c>
      <c r="C147" t="s">
        <v>82</v>
      </c>
      <c r="D147" t="s">
        <v>118</v>
      </c>
      <c r="E147" t="s">
        <v>181</v>
      </c>
      <c r="F147" t="s">
        <v>453</v>
      </c>
      <c r="G147" t="s">
        <v>1505</v>
      </c>
      <c r="H147" t="s">
        <v>2630</v>
      </c>
      <c r="I147" t="s">
        <v>3916</v>
      </c>
      <c r="J147" t="s">
        <v>4222</v>
      </c>
      <c r="K147">
        <v>11432</v>
      </c>
      <c r="L147" t="s">
        <v>4275</v>
      </c>
      <c r="M147" t="s">
        <v>4275</v>
      </c>
      <c r="O147" t="s">
        <v>4282</v>
      </c>
      <c r="P147" t="s">
        <v>4428</v>
      </c>
      <c r="Q147" t="s">
        <v>5731</v>
      </c>
      <c r="R147" t="s">
        <v>5753</v>
      </c>
      <c r="S147" t="s">
        <v>5759</v>
      </c>
      <c r="T147" t="s">
        <v>4276</v>
      </c>
      <c r="V147" t="s">
        <v>5767</v>
      </c>
      <c r="W147" t="s">
        <v>5772</v>
      </c>
      <c r="X147" t="s">
        <v>118</v>
      </c>
      <c r="Y147">
        <v>1328</v>
      </c>
      <c r="Z147" t="s">
        <v>5803</v>
      </c>
      <c r="AA147" t="s">
        <v>5804</v>
      </c>
      <c r="AB147" t="s">
        <v>5821</v>
      </c>
      <c r="AC147" t="s">
        <v>5973</v>
      </c>
      <c r="AD147" t="s">
        <v>4381</v>
      </c>
      <c r="AE147" t="s">
        <v>7981</v>
      </c>
      <c r="AF147">
        <v>84</v>
      </c>
      <c r="AG147" t="s">
        <v>9270</v>
      </c>
      <c r="AH147" t="s">
        <v>4280</v>
      </c>
      <c r="AI147">
        <v>13</v>
      </c>
      <c r="AJ147">
        <v>2</v>
      </c>
      <c r="AK147">
        <v>2</v>
      </c>
      <c r="AL147">
        <v>4.05</v>
      </c>
      <c r="AO147" t="s">
        <v>1425</v>
      </c>
      <c r="AP147">
        <v>1016</v>
      </c>
      <c r="AV147">
        <v>1.7</v>
      </c>
      <c r="AW147" t="s">
        <v>54</v>
      </c>
    </row>
    <row r="148" spans="1:49">
      <c r="A148" s="1">
        <f>HYPERLINK("https://cms.ls-nyc.org/matter/dynamic-profile/view/1889538","19-1889538")</f>
        <v>0</v>
      </c>
      <c r="B148" t="s">
        <v>53</v>
      </c>
      <c r="C148" t="s">
        <v>83</v>
      </c>
      <c r="D148" t="s">
        <v>171</v>
      </c>
      <c r="F148" t="s">
        <v>454</v>
      </c>
      <c r="G148" t="s">
        <v>1506</v>
      </c>
      <c r="H148" t="s">
        <v>2631</v>
      </c>
      <c r="I148" t="s">
        <v>3842</v>
      </c>
      <c r="J148" t="s">
        <v>4241</v>
      </c>
      <c r="K148">
        <v>11368</v>
      </c>
      <c r="L148" t="s">
        <v>4275</v>
      </c>
      <c r="M148" t="s">
        <v>4275</v>
      </c>
      <c r="O148" t="s">
        <v>4282</v>
      </c>
      <c r="P148" t="s">
        <v>4429</v>
      </c>
      <c r="Q148" t="s">
        <v>5732</v>
      </c>
      <c r="R148" t="s">
        <v>5752</v>
      </c>
      <c r="T148" t="s">
        <v>4276</v>
      </c>
      <c r="V148" t="s">
        <v>5767</v>
      </c>
      <c r="Y148">
        <v>1350</v>
      </c>
      <c r="Z148" t="s">
        <v>5803</v>
      </c>
      <c r="AA148" t="s">
        <v>5804</v>
      </c>
      <c r="AC148" t="s">
        <v>5974</v>
      </c>
      <c r="AD148" t="s">
        <v>7345</v>
      </c>
      <c r="AE148" t="s">
        <v>7982</v>
      </c>
      <c r="AF148">
        <v>2</v>
      </c>
      <c r="AG148" t="s">
        <v>9270</v>
      </c>
      <c r="AH148" t="s">
        <v>4280</v>
      </c>
      <c r="AI148">
        <v>4</v>
      </c>
      <c r="AJ148">
        <v>1</v>
      </c>
      <c r="AK148">
        <v>1</v>
      </c>
      <c r="AL148">
        <v>17.84</v>
      </c>
      <c r="AO148" t="s">
        <v>1425</v>
      </c>
      <c r="AP148">
        <v>3016</v>
      </c>
      <c r="AV148">
        <v>0.6</v>
      </c>
      <c r="AW148" t="s">
        <v>54</v>
      </c>
    </row>
    <row r="149" spans="1:49">
      <c r="A149" s="1">
        <f>HYPERLINK("https://cms.ls-nyc.org/matter/dynamic-profile/view/1898332","19-1898332")</f>
        <v>0</v>
      </c>
      <c r="B149" t="s">
        <v>53</v>
      </c>
      <c r="C149" t="s">
        <v>83</v>
      </c>
      <c r="D149" t="s">
        <v>172</v>
      </c>
      <c r="F149" t="s">
        <v>339</v>
      </c>
      <c r="G149" t="s">
        <v>1507</v>
      </c>
      <c r="H149" t="s">
        <v>2632</v>
      </c>
      <c r="I149" t="s">
        <v>3917</v>
      </c>
      <c r="J149" t="s">
        <v>4251</v>
      </c>
      <c r="K149">
        <v>11377</v>
      </c>
      <c r="L149" t="s">
        <v>4275</v>
      </c>
      <c r="M149" t="s">
        <v>4275</v>
      </c>
      <c r="O149" t="s">
        <v>4283</v>
      </c>
      <c r="P149" t="s">
        <v>4430</v>
      </c>
      <c r="Q149" t="s">
        <v>5735</v>
      </c>
      <c r="R149" t="s">
        <v>5756</v>
      </c>
      <c r="T149" t="s">
        <v>4276</v>
      </c>
      <c r="V149" t="s">
        <v>5767</v>
      </c>
      <c r="W149" t="s">
        <v>5771</v>
      </c>
      <c r="X149" t="s">
        <v>172</v>
      </c>
      <c r="Y149">
        <v>1104.78</v>
      </c>
      <c r="Z149" t="s">
        <v>5803</v>
      </c>
      <c r="AA149" t="s">
        <v>5804</v>
      </c>
      <c r="AC149" t="s">
        <v>5975</v>
      </c>
      <c r="AE149" t="s">
        <v>7983</v>
      </c>
      <c r="AF149">
        <v>65</v>
      </c>
      <c r="AG149" t="s">
        <v>9272</v>
      </c>
      <c r="AH149" t="s">
        <v>4280</v>
      </c>
      <c r="AI149">
        <v>24</v>
      </c>
      <c r="AJ149">
        <v>3</v>
      </c>
      <c r="AK149">
        <v>0</v>
      </c>
      <c r="AL149">
        <v>19.52</v>
      </c>
      <c r="AO149" t="s">
        <v>1425</v>
      </c>
      <c r="AP149">
        <v>4164</v>
      </c>
      <c r="AV149">
        <v>1.5</v>
      </c>
      <c r="AW149" t="s">
        <v>67</v>
      </c>
    </row>
    <row r="150" spans="1:49">
      <c r="A150" s="1">
        <f>HYPERLINK("https://cms.ls-nyc.org/matter/dynamic-profile/view/1893462","19-1893462")</f>
        <v>0</v>
      </c>
      <c r="B150" t="s">
        <v>53</v>
      </c>
      <c r="C150" t="s">
        <v>83</v>
      </c>
      <c r="D150" t="s">
        <v>173</v>
      </c>
      <c r="F150" t="s">
        <v>351</v>
      </c>
      <c r="G150" t="s">
        <v>1410</v>
      </c>
      <c r="H150" t="s">
        <v>2529</v>
      </c>
      <c r="I150" t="s">
        <v>3860</v>
      </c>
      <c r="J150" t="s">
        <v>4230</v>
      </c>
      <c r="K150">
        <v>11101</v>
      </c>
      <c r="L150" t="s">
        <v>4275</v>
      </c>
      <c r="M150" t="s">
        <v>4275</v>
      </c>
      <c r="O150" t="s">
        <v>4282</v>
      </c>
      <c r="P150" t="s">
        <v>4324</v>
      </c>
      <c r="Q150" t="s">
        <v>5731</v>
      </c>
      <c r="R150" t="s">
        <v>5751</v>
      </c>
      <c r="T150" t="s">
        <v>4276</v>
      </c>
      <c r="V150" t="s">
        <v>5767</v>
      </c>
      <c r="W150" t="s">
        <v>5775</v>
      </c>
      <c r="X150" t="s">
        <v>173</v>
      </c>
      <c r="Y150">
        <v>431</v>
      </c>
      <c r="Z150" t="s">
        <v>5803</v>
      </c>
      <c r="AC150" t="s">
        <v>5869</v>
      </c>
      <c r="AD150" t="s">
        <v>7295</v>
      </c>
      <c r="AE150" t="s">
        <v>7881</v>
      </c>
      <c r="AF150">
        <v>0</v>
      </c>
      <c r="AG150" t="s">
        <v>9279</v>
      </c>
      <c r="AI150">
        <v>0</v>
      </c>
      <c r="AJ150">
        <v>1</v>
      </c>
      <c r="AK150">
        <v>0</v>
      </c>
      <c r="AL150">
        <v>30.74</v>
      </c>
      <c r="AO150" t="s">
        <v>1425</v>
      </c>
      <c r="AP150">
        <v>3840</v>
      </c>
      <c r="AV150">
        <v>0</v>
      </c>
      <c r="AW150" t="s">
        <v>50</v>
      </c>
    </row>
    <row r="151" spans="1:49">
      <c r="A151" s="1">
        <f>HYPERLINK("https://cms.ls-nyc.org/matter/dynamic-profile/view/1876750","18-1876750")</f>
        <v>0</v>
      </c>
      <c r="B151" t="s">
        <v>53</v>
      </c>
      <c r="C151" t="s">
        <v>83</v>
      </c>
      <c r="D151" t="s">
        <v>120</v>
      </c>
      <c r="F151" t="s">
        <v>455</v>
      </c>
      <c r="G151" t="s">
        <v>1508</v>
      </c>
      <c r="H151" t="s">
        <v>2633</v>
      </c>
      <c r="J151" t="s">
        <v>4256</v>
      </c>
      <c r="K151">
        <v>11411</v>
      </c>
      <c r="L151" t="s">
        <v>4275</v>
      </c>
      <c r="M151" t="s">
        <v>4275</v>
      </c>
      <c r="O151" t="s">
        <v>4282</v>
      </c>
      <c r="P151" t="s">
        <v>4431</v>
      </c>
      <c r="Q151" t="s">
        <v>5732</v>
      </c>
      <c r="R151" t="s">
        <v>5752</v>
      </c>
      <c r="T151" t="s">
        <v>4276</v>
      </c>
      <c r="V151" t="s">
        <v>5767</v>
      </c>
      <c r="W151" t="s">
        <v>5772</v>
      </c>
      <c r="X151" t="s">
        <v>120</v>
      </c>
      <c r="Y151">
        <v>1268</v>
      </c>
      <c r="Z151" t="s">
        <v>5803</v>
      </c>
      <c r="AA151" t="s">
        <v>5804</v>
      </c>
      <c r="AC151" t="s">
        <v>5976</v>
      </c>
      <c r="AD151" t="s">
        <v>7346</v>
      </c>
      <c r="AE151" t="s">
        <v>7984</v>
      </c>
      <c r="AF151">
        <v>1</v>
      </c>
      <c r="AG151" t="s">
        <v>9269</v>
      </c>
      <c r="AH151" t="s">
        <v>9284</v>
      </c>
      <c r="AI151">
        <v>1</v>
      </c>
      <c r="AJ151">
        <v>1</v>
      </c>
      <c r="AK151">
        <v>2</v>
      </c>
      <c r="AL151">
        <v>35.82</v>
      </c>
      <c r="AO151" t="s">
        <v>1425</v>
      </c>
      <c r="AP151">
        <v>7444</v>
      </c>
      <c r="AV151">
        <v>1.1</v>
      </c>
      <c r="AW151" t="s">
        <v>54</v>
      </c>
    </row>
    <row r="152" spans="1:49">
      <c r="A152" s="1">
        <f>HYPERLINK("https://cms.ls-nyc.org/matter/dynamic-profile/view/1884689","18-1884689")</f>
        <v>0</v>
      </c>
      <c r="B152" t="s">
        <v>53</v>
      </c>
      <c r="C152" t="s">
        <v>83</v>
      </c>
      <c r="D152" t="s">
        <v>174</v>
      </c>
      <c r="F152" t="s">
        <v>456</v>
      </c>
      <c r="G152" t="s">
        <v>1509</v>
      </c>
      <c r="H152" t="s">
        <v>2634</v>
      </c>
      <c r="I152" t="s">
        <v>3867</v>
      </c>
      <c r="J152" t="s">
        <v>4257</v>
      </c>
      <c r="K152">
        <v>11379</v>
      </c>
      <c r="L152" t="s">
        <v>4275</v>
      </c>
      <c r="M152" t="s">
        <v>4275</v>
      </c>
      <c r="O152" t="s">
        <v>4282</v>
      </c>
      <c r="P152" t="s">
        <v>4432</v>
      </c>
      <c r="Q152" t="s">
        <v>5731</v>
      </c>
      <c r="R152" t="s">
        <v>5752</v>
      </c>
      <c r="T152" t="s">
        <v>4276</v>
      </c>
      <c r="V152" t="s">
        <v>5767</v>
      </c>
      <c r="Y152">
        <v>2200</v>
      </c>
      <c r="Z152" t="s">
        <v>5803</v>
      </c>
      <c r="AA152" t="s">
        <v>5804</v>
      </c>
      <c r="AC152" t="s">
        <v>5977</v>
      </c>
      <c r="AD152" t="s">
        <v>7347</v>
      </c>
      <c r="AE152" t="s">
        <v>7985</v>
      </c>
      <c r="AF152">
        <v>0</v>
      </c>
      <c r="AG152" t="s">
        <v>9270</v>
      </c>
      <c r="AH152" t="s">
        <v>4280</v>
      </c>
      <c r="AI152">
        <v>1</v>
      </c>
      <c r="AJ152">
        <v>1</v>
      </c>
      <c r="AK152">
        <v>4</v>
      </c>
      <c r="AL152">
        <v>52.21</v>
      </c>
      <c r="AO152" t="s">
        <v>9298</v>
      </c>
      <c r="AP152">
        <v>15360</v>
      </c>
      <c r="AV152">
        <v>1</v>
      </c>
      <c r="AW152" t="s">
        <v>54</v>
      </c>
    </row>
    <row r="153" spans="1:49">
      <c r="A153" s="1">
        <f>HYPERLINK("https://cms.ls-nyc.org/matter/dynamic-profile/view/1889894","19-1889894")</f>
        <v>0</v>
      </c>
      <c r="B153" t="s">
        <v>53</v>
      </c>
      <c r="C153" t="s">
        <v>83</v>
      </c>
      <c r="D153" t="s">
        <v>175</v>
      </c>
      <c r="F153" t="s">
        <v>457</v>
      </c>
      <c r="G153" t="s">
        <v>387</v>
      </c>
      <c r="H153" t="s">
        <v>2635</v>
      </c>
      <c r="I153" t="s">
        <v>3864</v>
      </c>
      <c r="J153" t="s">
        <v>4236</v>
      </c>
      <c r="K153">
        <v>11417</v>
      </c>
      <c r="L153" t="s">
        <v>4275</v>
      </c>
      <c r="M153" t="s">
        <v>4275</v>
      </c>
      <c r="O153" t="s">
        <v>4282</v>
      </c>
      <c r="P153" t="s">
        <v>4433</v>
      </c>
      <c r="Q153" t="s">
        <v>5732</v>
      </c>
      <c r="R153" t="s">
        <v>5752</v>
      </c>
      <c r="T153" t="s">
        <v>4276</v>
      </c>
      <c r="V153" t="s">
        <v>5767</v>
      </c>
      <c r="W153" t="s">
        <v>5772</v>
      </c>
      <c r="X153" t="s">
        <v>175</v>
      </c>
      <c r="Y153">
        <v>985</v>
      </c>
      <c r="Z153" t="s">
        <v>5803</v>
      </c>
      <c r="AA153" t="s">
        <v>5804</v>
      </c>
      <c r="AC153" t="s">
        <v>5978</v>
      </c>
      <c r="AE153" t="s">
        <v>7986</v>
      </c>
      <c r="AF153">
        <v>2</v>
      </c>
      <c r="AG153" t="s">
        <v>9269</v>
      </c>
      <c r="AH153" t="s">
        <v>4280</v>
      </c>
      <c r="AI153">
        <v>25</v>
      </c>
      <c r="AJ153">
        <v>2</v>
      </c>
      <c r="AK153">
        <v>0</v>
      </c>
      <c r="AL153">
        <v>53.22</v>
      </c>
      <c r="AO153" t="s">
        <v>1425</v>
      </c>
      <c r="AP153">
        <v>9000</v>
      </c>
      <c r="AV153">
        <v>0.2</v>
      </c>
      <c r="AW153" t="s">
        <v>73</v>
      </c>
    </row>
    <row r="154" spans="1:49">
      <c r="A154" s="1">
        <f>HYPERLINK("https://cms.ls-nyc.org/matter/dynamic-profile/view/1892955","19-1892955")</f>
        <v>0</v>
      </c>
      <c r="B154" t="s">
        <v>53</v>
      </c>
      <c r="C154" t="s">
        <v>83</v>
      </c>
      <c r="D154" t="s">
        <v>176</v>
      </c>
      <c r="F154" t="s">
        <v>458</v>
      </c>
      <c r="G154" t="s">
        <v>1510</v>
      </c>
      <c r="H154" t="s">
        <v>2636</v>
      </c>
      <c r="I154" t="s">
        <v>3918</v>
      </c>
      <c r="J154" t="s">
        <v>4240</v>
      </c>
      <c r="K154">
        <v>11373</v>
      </c>
      <c r="L154" t="s">
        <v>4275</v>
      </c>
      <c r="M154" t="s">
        <v>4275</v>
      </c>
      <c r="O154" t="s">
        <v>4283</v>
      </c>
      <c r="P154" t="s">
        <v>4434</v>
      </c>
      <c r="Q154" t="s">
        <v>5731</v>
      </c>
      <c r="R154" t="s">
        <v>5756</v>
      </c>
      <c r="T154" t="s">
        <v>4276</v>
      </c>
      <c r="V154" t="s">
        <v>5767</v>
      </c>
      <c r="W154" t="s">
        <v>5774</v>
      </c>
      <c r="X154" t="s">
        <v>115</v>
      </c>
      <c r="Y154">
        <v>947.9299999999999</v>
      </c>
      <c r="Z154" t="s">
        <v>5803</v>
      </c>
      <c r="AA154" t="s">
        <v>5804</v>
      </c>
      <c r="AC154" t="s">
        <v>5979</v>
      </c>
      <c r="AD154" t="s">
        <v>7348</v>
      </c>
      <c r="AE154" t="s">
        <v>7987</v>
      </c>
      <c r="AF154">
        <v>125</v>
      </c>
      <c r="AG154" t="s">
        <v>9272</v>
      </c>
      <c r="AH154" t="s">
        <v>9287</v>
      </c>
      <c r="AI154">
        <v>25</v>
      </c>
      <c r="AJ154">
        <v>1</v>
      </c>
      <c r="AK154">
        <v>0</v>
      </c>
      <c r="AL154">
        <v>63.7</v>
      </c>
      <c r="AO154" t="s">
        <v>1425</v>
      </c>
      <c r="AP154">
        <v>7956</v>
      </c>
      <c r="AV154">
        <v>0.05</v>
      </c>
      <c r="AW154" t="s">
        <v>67</v>
      </c>
    </row>
    <row r="155" spans="1:49">
      <c r="A155" s="1">
        <f>HYPERLINK("https://cms.ls-nyc.org/matter/dynamic-profile/view/1890246","19-1890246")</f>
        <v>0</v>
      </c>
      <c r="B155" t="s">
        <v>53</v>
      </c>
      <c r="C155" t="s">
        <v>83</v>
      </c>
      <c r="D155" t="s">
        <v>127</v>
      </c>
      <c r="F155" t="s">
        <v>459</v>
      </c>
      <c r="G155" t="s">
        <v>1511</v>
      </c>
      <c r="H155" t="s">
        <v>2637</v>
      </c>
      <c r="J155" t="s">
        <v>4235</v>
      </c>
      <c r="K155">
        <v>11421</v>
      </c>
      <c r="L155" t="s">
        <v>4277</v>
      </c>
      <c r="M155" t="s">
        <v>4277</v>
      </c>
      <c r="O155" t="s">
        <v>4282</v>
      </c>
      <c r="P155" t="s">
        <v>4435</v>
      </c>
      <c r="Q155" t="s">
        <v>5732</v>
      </c>
      <c r="V155" t="s">
        <v>5767</v>
      </c>
      <c r="Y155">
        <v>1250</v>
      </c>
      <c r="Z155" t="s">
        <v>5803</v>
      </c>
      <c r="AA155" t="s">
        <v>5804</v>
      </c>
      <c r="AC155" t="s">
        <v>5980</v>
      </c>
      <c r="AD155" t="s">
        <v>7349</v>
      </c>
      <c r="AE155" t="s">
        <v>7988</v>
      </c>
      <c r="AF155">
        <v>0</v>
      </c>
      <c r="AG155" t="s">
        <v>9269</v>
      </c>
      <c r="AH155" t="s">
        <v>4280</v>
      </c>
      <c r="AI155">
        <v>2</v>
      </c>
      <c r="AJ155">
        <v>1</v>
      </c>
      <c r="AK155">
        <v>1</v>
      </c>
      <c r="AL155">
        <v>64.67</v>
      </c>
      <c r="AO155" t="s">
        <v>9306</v>
      </c>
      <c r="AP155">
        <v>10936</v>
      </c>
      <c r="AV155">
        <v>2</v>
      </c>
      <c r="AW155" t="s">
        <v>74</v>
      </c>
    </row>
    <row r="156" spans="1:49">
      <c r="A156" s="1">
        <f>HYPERLINK("https://cms.ls-nyc.org/matter/dynamic-profile/view/1892884","19-1892884")</f>
        <v>0</v>
      </c>
      <c r="B156" t="s">
        <v>53</v>
      </c>
      <c r="C156" t="s">
        <v>83</v>
      </c>
      <c r="D156" t="s">
        <v>176</v>
      </c>
      <c r="F156" t="s">
        <v>460</v>
      </c>
      <c r="G156" t="s">
        <v>1512</v>
      </c>
      <c r="H156" t="s">
        <v>2638</v>
      </c>
      <c r="I156" t="s">
        <v>3919</v>
      </c>
      <c r="J156" t="s">
        <v>4243</v>
      </c>
      <c r="K156">
        <v>11691</v>
      </c>
      <c r="L156" t="s">
        <v>4275</v>
      </c>
      <c r="M156" t="s">
        <v>4275</v>
      </c>
      <c r="O156" t="s">
        <v>4283</v>
      </c>
      <c r="P156" t="s">
        <v>4436</v>
      </c>
      <c r="Q156" t="s">
        <v>5731</v>
      </c>
      <c r="R156" t="s">
        <v>5756</v>
      </c>
      <c r="T156" t="s">
        <v>4276</v>
      </c>
      <c r="V156" t="s">
        <v>5767</v>
      </c>
      <c r="W156" t="s">
        <v>5774</v>
      </c>
      <c r="X156" t="s">
        <v>176</v>
      </c>
      <c r="Y156">
        <v>222</v>
      </c>
      <c r="Z156" t="s">
        <v>5803</v>
      </c>
      <c r="AA156" t="s">
        <v>5807</v>
      </c>
      <c r="AC156" t="s">
        <v>5981</v>
      </c>
      <c r="AD156" t="s">
        <v>7350</v>
      </c>
      <c r="AE156" t="s">
        <v>7989</v>
      </c>
      <c r="AF156">
        <v>70</v>
      </c>
      <c r="AG156" t="s">
        <v>9278</v>
      </c>
      <c r="AH156" t="s">
        <v>4280</v>
      </c>
      <c r="AI156">
        <v>25</v>
      </c>
      <c r="AJ156">
        <v>1</v>
      </c>
      <c r="AK156">
        <v>0</v>
      </c>
      <c r="AL156">
        <v>72.06</v>
      </c>
      <c r="AO156" t="s">
        <v>9298</v>
      </c>
      <c r="AP156">
        <v>9000</v>
      </c>
      <c r="AV156">
        <v>3</v>
      </c>
      <c r="AW156" t="s">
        <v>54</v>
      </c>
    </row>
    <row r="157" spans="1:49">
      <c r="A157" s="1">
        <f>HYPERLINK("https://cms.ls-nyc.org/matter/dynamic-profile/view/1889925","19-1889925")</f>
        <v>0</v>
      </c>
      <c r="B157" t="s">
        <v>53</v>
      </c>
      <c r="C157" t="s">
        <v>83</v>
      </c>
      <c r="D157" t="s">
        <v>175</v>
      </c>
      <c r="F157" t="s">
        <v>461</v>
      </c>
      <c r="G157" t="s">
        <v>1450</v>
      </c>
      <c r="H157" t="s">
        <v>2639</v>
      </c>
      <c r="I157">
        <v>1</v>
      </c>
      <c r="J157" t="s">
        <v>4222</v>
      </c>
      <c r="K157">
        <v>11433</v>
      </c>
      <c r="L157" t="s">
        <v>4275</v>
      </c>
      <c r="M157" t="s">
        <v>4275</v>
      </c>
      <c r="O157" t="s">
        <v>4281</v>
      </c>
      <c r="P157" t="s">
        <v>4437</v>
      </c>
      <c r="Q157" t="s">
        <v>5732</v>
      </c>
      <c r="R157" t="s">
        <v>5752</v>
      </c>
      <c r="T157" t="s">
        <v>4276</v>
      </c>
      <c r="V157" t="s">
        <v>5767</v>
      </c>
      <c r="W157" t="s">
        <v>5771</v>
      </c>
      <c r="X157" t="s">
        <v>175</v>
      </c>
      <c r="Y157">
        <v>1957</v>
      </c>
      <c r="Z157" t="s">
        <v>5803</v>
      </c>
      <c r="AA157" t="s">
        <v>5804</v>
      </c>
      <c r="AC157" t="s">
        <v>5982</v>
      </c>
      <c r="AD157" t="s">
        <v>7351</v>
      </c>
      <c r="AE157" t="s">
        <v>7990</v>
      </c>
      <c r="AF157">
        <v>1</v>
      </c>
      <c r="AG157" t="s">
        <v>9269</v>
      </c>
      <c r="AH157" t="s">
        <v>4280</v>
      </c>
      <c r="AI157">
        <v>31</v>
      </c>
      <c r="AJ157">
        <v>3</v>
      </c>
      <c r="AK157">
        <v>2</v>
      </c>
      <c r="AL157">
        <v>76.23</v>
      </c>
      <c r="AO157" t="s">
        <v>1425</v>
      </c>
      <c r="AP157">
        <v>23000</v>
      </c>
      <c r="AV157">
        <v>0.2</v>
      </c>
      <c r="AW157" t="s">
        <v>73</v>
      </c>
    </row>
    <row r="158" spans="1:49">
      <c r="A158" s="1">
        <f>HYPERLINK("https://cms.ls-nyc.org/matter/dynamic-profile/view/1876734","18-1876734")</f>
        <v>0</v>
      </c>
      <c r="B158" t="s">
        <v>53</v>
      </c>
      <c r="C158" t="s">
        <v>83</v>
      </c>
      <c r="D158" t="s">
        <v>120</v>
      </c>
      <c r="F158" t="s">
        <v>462</v>
      </c>
      <c r="G158" t="s">
        <v>1513</v>
      </c>
      <c r="H158" t="s">
        <v>2640</v>
      </c>
      <c r="I158" t="s">
        <v>3866</v>
      </c>
      <c r="J158" t="s">
        <v>4256</v>
      </c>
      <c r="K158">
        <v>11411</v>
      </c>
      <c r="L158" t="s">
        <v>4275</v>
      </c>
      <c r="M158" t="s">
        <v>4275</v>
      </c>
      <c r="O158" t="s">
        <v>4282</v>
      </c>
      <c r="P158" t="s">
        <v>4438</v>
      </c>
      <c r="Q158" t="s">
        <v>5732</v>
      </c>
      <c r="R158" t="s">
        <v>5754</v>
      </c>
      <c r="T158" t="s">
        <v>4276</v>
      </c>
      <c r="V158" t="s">
        <v>5767</v>
      </c>
      <c r="W158" t="s">
        <v>5773</v>
      </c>
      <c r="X158" t="s">
        <v>120</v>
      </c>
      <c r="Y158">
        <v>1500</v>
      </c>
      <c r="Z158" t="s">
        <v>5803</v>
      </c>
      <c r="AA158" t="s">
        <v>5804</v>
      </c>
      <c r="AC158" t="s">
        <v>5983</v>
      </c>
      <c r="AD158" t="s">
        <v>7352</v>
      </c>
      <c r="AE158" t="s">
        <v>7991</v>
      </c>
      <c r="AF158">
        <v>0</v>
      </c>
      <c r="AG158" t="s">
        <v>9269</v>
      </c>
      <c r="AH158" t="s">
        <v>4280</v>
      </c>
      <c r="AI158">
        <v>5</v>
      </c>
      <c r="AJ158">
        <v>1</v>
      </c>
      <c r="AK158">
        <v>1</v>
      </c>
      <c r="AL158">
        <v>90.04000000000001</v>
      </c>
      <c r="AO158" t="s">
        <v>1425</v>
      </c>
      <c r="AP158">
        <v>14820</v>
      </c>
      <c r="AV158">
        <v>1</v>
      </c>
      <c r="AW158" t="s">
        <v>54</v>
      </c>
    </row>
    <row r="159" spans="1:49">
      <c r="A159" s="1">
        <f>HYPERLINK("https://cms.ls-nyc.org/matter/dynamic-profile/view/1889284","19-1889284")</f>
        <v>0</v>
      </c>
      <c r="B159" t="s">
        <v>53</v>
      </c>
      <c r="C159" t="s">
        <v>83</v>
      </c>
      <c r="D159" t="s">
        <v>119</v>
      </c>
      <c r="F159" t="s">
        <v>463</v>
      </c>
      <c r="G159" t="s">
        <v>1514</v>
      </c>
      <c r="H159" t="s">
        <v>2641</v>
      </c>
      <c r="I159" t="s">
        <v>3920</v>
      </c>
      <c r="J159" t="s">
        <v>4229</v>
      </c>
      <c r="K159">
        <v>11355</v>
      </c>
      <c r="L159" t="s">
        <v>4275</v>
      </c>
      <c r="M159" t="s">
        <v>4275</v>
      </c>
      <c r="O159" t="s">
        <v>4282</v>
      </c>
      <c r="P159" t="s">
        <v>4439</v>
      </c>
      <c r="Q159" t="s">
        <v>5732</v>
      </c>
      <c r="R159" t="s">
        <v>5753</v>
      </c>
      <c r="T159" t="s">
        <v>4276</v>
      </c>
      <c r="V159" t="s">
        <v>5767</v>
      </c>
      <c r="Y159">
        <v>1900</v>
      </c>
      <c r="Z159" t="s">
        <v>5803</v>
      </c>
      <c r="AA159" t="s">
        <v>5804</v>
      </c>
      <c r="AC159" t="s">
        <v>5984</v>
      </c>
      <c r="AE159" t="s">
        <v>7992</v>
      </c>
      <c r="AF159">
        <v>0</v>
      </c>
      <c r="AG159" t="s">
        <v>9270</v>
      </c>
      <c r="AH159" t="s">
        <v>4280</v>
      </c>
      <c r="AI159">
        <v>7</v>
      </c>
      <c r="AJ159">
        <v>1</v>
      </c>
      <c r="AK159">
        <v>3</v>
      </c>
      <c r="AL159">
        <v>93.2</v>
      </c>
      <c r="AO159" t="s">
        <v>1425</v>
      </c>
      <c r="AP159">
        <v>24000</v>
      </c>
      <c r="AV159">
        <v>1.6</v>
      </c>
      <c r="AW159" t="s">
        <v>54</v>
      </c>
    </row>
    <row r="160" spans="1:49">
      <c r="A160" s="1">
        <f>HYPERLINK("https://cms.ls-nyc.org/matter/dynamic-profile/view/1879895","18-1879895")</f>
        <v>0</v>
      </c>
      <c r="B160" t="s">
        <v>53</v>
      </c>
      <c r="C160" t="s">
        <v>83</v>
      </c>
      <c r="D160" t="s">
        <v>92</v>
      </c>
      <c r="F160" t="s">
        <v>464</v>
      </c>
      <c r="G160" t="s">
        <v>1515</v>
      </c>
      <c r="H160" t="s">
        <v>2642</v>
      </c>
      <c r="I160" t="s">
        <v>3921</v>
      </c>
      <c r="J160" t="s">
        <v>4245</v>
      </c>
      <c r="K160">
        <v>11418</v>
      </c>
      <c r="L160" t="s">
        <v>4275</v>
      </c>
      <c r="M160" t="s">
        <v>4275</v>
      </c>
      <c r="O160" t="s">
        <v>4282</v>
      </c>
      <c r="P160" t="s">
        <v>4440</v>
      </c>
      <c r="Q160" t="s">
        <v>5732</v>
      </c>
      <c r="R160" t="s">
        <v>5752</v>
      </c>
      <c r="T160" t="s">
        <v>4276</v>
      </c>
      <c r="V160" t="s">
        <v>5767</v>
      </c>
      <c r="Y160">
        <v>1650</v>
      </c>
      <c r="Z160" t="s">
        <v>5803</v>
      </c>
      <c r="AA160" t="s">
        <v>5804</v>
      </c>
      <c r="AC160" t="s">
        <v>5985</v>
      </c>
      <c r="AE160" t="s">
        <v>7993</v>
      </c>
      <c r="AF160">
        <v>2</v>
      </c>
      <c r="AH160" t="s">
        <v>4280</v>
      </c>
      <c r="AI160">
        <v>1</v>
      </c>
      <c r="AJ160">
        <v>2</v>
      </c>
      <c r="AK160">
        <v>3</v>
      </c>
      <c r="AL160">
        <v>99.93000000000001</v>
      </c>
      <c r="AO160" t="s">
        <v>1425</v>
      </c>
      <c r="AP160">
        <v>29400</v>
      </c>
      <c r="AV160">
        <v>1</v>
      </c>
      <c r="AW160" t="s">
        <v>54</v>
      </c>
    </row>
    <row r="161" spans="1:49">
      <c r="A161" s="1">
        <f>HYPERLINK("https://cms.ls-nyc.org/matter/dynamic-profile/view/1889552","19-1889552")</f>
        <v>0</v>
      </c>
      <c r="B161" t="s">
        <v>53</v>
      </c>
      <c r="C161" t="s">
        <v>83</v>
      </c>
      <c r="D161" t="s">
        <v>171</v>
      </c>
      <c r="F161" t="s">
        <v>465</v>
      </c>
      <c r="G161" t="s">
        <v>1516</v>
      </c>
      <c r="H161" t="s">
        <v>2643</v>
      </c>
      <c r="I161" t="s">
        <v>3922</v>
      </c>
      <c r="J161" t="s">
        <v>4257</v>
      </c>
      <c r="K161">
        <v>11379</v>
      </c>
      <c r="L161" t="s">
        <v>4275</v>
      </c>
      <c r="M161" t="s">
        <v>4275</v>
      </c>
      <c r="O161" t="s">
        <v>4282</v>
      </c>
      <c r="P161" t="s">
        <v>4441</v>
      </c>
      <c r="Q161" t="s">
        <v>5731</v>
      </c>
      <c r="R161" t="s">
        <v>5752</v>
      </c>
      <c r="T161" t="s">
        <v>4276</v>
      </c>
      <c r="V161" t="s">
        <v>5767</v>
      </c>
      <c r="Y161">
        <v>1153</v>
      </c>
      <c r="Z161" t="s">
        <v>5803</v>
      </c>
      <c r="AA161" t="s">
        <v>5804</v>
      </c>
      <c r="AC161" t="s">
        <v>5986</v>
      </c>
      <c r="AD161" t="s">
        <v>7353</v>
      </c>
      <c r="AE161" t="s">
        <v>7994</v>
      </c>
      <c r="AF161">
        <v>0</v>
      </c>
      <c r="AG161" t="s">
        <v>9270</v>
      </c>
      <c r="AH161" t="s">
        <v>9287</v>
      </c>
      <c r="AI161">
        <v>39</v>
      </c>
      <c r="AJ161">
        <v>1</v>
      </c>
      <c r="AK161">
        <v>0</v>
      </c>
      <c r="AL161">
        <v>105.68</v>
      </c>
      <c r="AO161" t="s">
        <v>9298</v>
      </c>
      <c r="AP161">
        <v>13200</v>
      </c>
      <c r="AV161">
        <v>0.6</v>
      </c>
      <c r="AW161" t="s">
        <v>54</v>
      </c>
    </row>
    <row r="162" spans="1:49">
      <c r="A162" s="1">
        <f>HYPERLINK("https://cms.ls-nyc.org/matter/dynamic-profile/view/1880722","18-1880722")</f>
        <v>0</v>
      </c>
      <c r="B162" t="s">
        <v>53</v>
      </c>
      <c r="C162" t="s">
        <v>83</v>
      </c>
      <c r="D162" t="s">
        <v>84</v>
      </c>
      <c r="F162" t="s">
        <v>466</v>
      </c>
      <c r="G162" t="s">
        <v>1517</v>
      </c>
      <c r="H162" t="s">
        <v>2644</v>
      </c>
      <c r="I162" t="s">
        <v>3863</v>
      </c>
      <c r="J162" t="s">
        <v>4227</v>
      </c>
      <c r="K162">
        <v>11365</v>
      </c>
      <c r="L162" t="s">
        <v>4275</v>
      </c>
      <c r="M162" t="s">
        <v>4275</v>
      </c>
      <c r="O162" t="s">
        <v>4282</v>
      </c>
      <c r="P162" t="s">
        <v>4442</v>
      </c>
      <c r="Q162" t="s">
        <v>5731</v>
      </c>
      <c r="R162" t="s">
        <v>5752</v>
      </c>
      <c r="T162" t="s">
        <v>4276</v>
      </c>
      <c r="V162" t="s">
        <v>5767</v>
      </c>
      <c r="Y162">
        <v>1395</v>
      </c>
      <c r="Z162" t="s">
        <v>5803</v>
      </c>
      <c r="AA162" t="s">
        <v>5804</v>
      </c>
      <c r="AC162" t="s">
        <v>5987</v>
      </c>
      <c r="AE162" t="s">
        <v>7995</v>
      </c>
      <c r="AF162">
        <v>9</v>
      </c>
      <c r="AG162" t="s">
        <v>9270</v>
      </c>
      <c r="AI162">
        <v>9</v>
      </c>
      <c r="AJ162">
        <v>1</v>
      </c>
      <c r="AK162">
        <v>1</v>
      </c>
      <c r="AL162">
        <v>121.51</v>
      </c>
      <c r="AO162" t="s">
        <v>1425</v>
      </c>
      <c r="AP162">
        <v>20000</v>
      </c>
      <c r="AV162">
        <v>0</v>
      </c>
      <c r="AW162" t="s">
        <v>54</v>
      </c>
    </row>
    <row r="163" spans="1:49">
      <c r="A163" s="1">
        <f>HYPERLINK("https://cms.ls-nyc.org/matter/dynamic-profile/view/1875207","18-1875207")</f>
        <v>0</v>
      </c>
      <c r="B163" t="s">
        <v>53</v>
      </c>
      <c r="C163" t="s">
        <v>82</v>
      </c>
      <c r="D163" t="s">
        <v>177</v>
      </c>
      <c r="E163" t="s">
        <v>199</v>
      </c>
      <c r="F163" t="s">
        <v>439</v>
      </c>
      <c r="G163" t="s">
        <v>1518</v>
      </c>
      <c r="H163" t="s">
        <v>2645</v>
      </c>
      <c r="I163">
        <v>2</v>
      </c>
      <c r="J163" t="s">
        <v>4244</v>
      </c>
      <c r="K163">
        <v>11413</v>
      </c>
      <c r="L163" t="s">
        <v>4275</v>
      </c>
      <c r="M163" t="s">
        <v>4275</v>
      </c>
      <c r="O163" t="s">
        <v>4283</v>
      </c>
      <c r="P163" t="s">
        <v>4443</v>
      </c>
      <c r="Q163" t="s">
        <v>5732</v>
      </c>
      <c r="R163" t="s">
        <v>5753</v>
      </c>
      <c r="S163" t="s">
        <v>5759</v>
      </c>
      <c r="T163" t="s">
        <v>4276</v>
      </c>
      <c r="V163" t="s">
        <v>5767</v>
      </c>
      <c r="W163" t="s">
        <v>5772</v>
      </c>
      <c r="X163" t="s">
        <v>177</v>
      </c>
      <c r="Y163">
        <v>1600</v>
      </c>
      <c r="Z163" t="s">
        <v>5803</v>
      </c>
      <c r="AA163" t="s">
        <v>5804</v>
      </c>
      <c r="AB163" t="s">
        <v>5821</v>
      </c>
      <c r="AC163" t="s">
        <v>5988</v>
      </c>
      <c r="AE163" t="s">
        <v>7996</v>
      </c>
      <c r="AF163">
        <v>2</v>
      </c>
      <c r="AG163" t="s">
        <v>9269</v>
      </c>
      <c r="AH163" t="s">
        <v>4280</v>
      </c>
      <c r="AI163">
        <v>4</v>
      </c>
      <c r="AJ163">
        <v>1</v>
      </c>
      <c r="AK163">
        <v>1</v>
      </c>
      <c r="AL163">
        <v>121.61</v>
      </c>
      <c r="AO163" t="s">
        <v>1425</v>
      </c>
      <c r="AP163">
        <v>20017.4</v>
      </c>
      <c r="AV163">
        <v>1.1</v>
      </c>
      <c r="AW163" t="s">
        <v>54</v>
      </c>
    </row>
    <row r="164" spans="1:49">
      <c r="A164" s="1">
        <f>HYPERLINK("https://cms.ls-nyc.org/matter/dynamic-profile/view/1876676","18-1876676")</f>
        <v>0</v>
      </c>
      <c r="B164" t="s">
        <v>53</v>
      </c>
      <c r="C164" t="s">
        <v>83</v>
      </c>
      <c r="D164" t="s">
        <v>178</v>
      </c>
      <c r="F164" t="s">
        <v>467</v>
      </c>
      <c r="G164" t="s">
        <v>1519</v>
      </c>
      <c r="H164" t="s">
        <v>2646</v>
      </c>
      <c r="I164" t="s">
        <v>3886</v>
      </c>
      <c r="J164" t="s">
        <v>4222</v>
      </c>
      <c r="K164">
        <v>11432</v>
      </c>
      <c r="L164" t="s">
        <v>4275</v>
      </c>
      <c r="M164" t="s">
        <v>4275</v>
      </c>
      <c r="O164" t="s">
        <v>4282</v>
      </c>
      <c r="P164" t="s">
        <v>4444</v>
      </c>
      <c r="Q164" t="s">
        <v>5731</v>
      </c>
      <c r="R164" t="s">
        <v>5753</v>
      </c>
      <c r="T164" t="s">
        <v>4276</v>
      </c>
      <c r="V164" t="s">
        <v>5767</v>
      </c>
      <c r="W164" t="s">
        <v>5771</v>
      </c>
      <c r="X164" t="s">
        <v>178</v>
      </c>
      <c r="Y164">
        <v>1594</v>
      </c>
      <c r="Z164" t="s">
        <v>5803</v>
      </c>
      <c r="AA164" t="s">
        <v>5804</v>
      </c>
      <c r="AC164" t="s">
        <v>5989</v>
      </c>
      <c r="AD164" t="s">
        <v>7354</v>
      </c>
      <c r="AE164" t="s">
        <v>7997</v>
      </c>
      <c r="AF164">
        <v>16</v>
      </c>
      <c r="AG164" t="s">
        <v>9272</v>
      </c>
      <c r="AH164" t="s">
        <v>9287</v>
      </c>
      <c r="AI164">
        <v>7</v>
      </c>
      <c r="AJ164">
        <v>3</v>
      </c>
      <c r="AK164">
        <v>1</v>
      </c>
      <c r="AL164">
        <v>124.02</v>
      </c>
      <c r="AO164" t="s">
        <v>1425</v>
      </c>
      <c r="AP164">
        <v>31128</v>
      </c>
      <c r="AV164">
        <v>0.5</v>
      </c>
      <c r="AW164" t="s">
        <v>54</v>
      </c>
    </row>
    <row r="165" spans="1:49">
      <c r="A165" s="1">
        <f>HYPERLINK("https://cms.ls-nyc.org/matter/dynamic-profile/view/1889043","19-1889043")</f>
        <v>0</v>
      </c>
      <c r="B165" t="s">
        <v>53</v>
      </c>
      <c r="C165" t="s">
        <v>83</v>
      </c>
      <c r="D165" t="s">
        <v>162</v>
      </c>
      <c r="F165" t="s">
        <v>441</v>
      </c>
      <c r="G165" t="s">
        <v>424</v>
      </c>
      <c r="H165" t="s">
        <v>2613</v>
      </c>
      <c r="I165" t="s">
        <v>3907</v>
      </c>
      <c r="J165" t="s">
        <v>4243</v>
      </c>
      <c r="K165">
        <v>11691</v>
      </c>
      <c r="L165" t="s">
        <v>4275</v>
      </c>
      <c r="M165" t="s">
        <v>4275</v>
      </c>
      <c r="O165" t="s">
        <v>4283</v>
      </c>
      <c r="P165" t="s">
        <v>4445</v>
      </c>
      <c r="Q165" t="s">
        <v>5735</v>
      </c>
      <c r="R165" t="s">
        <v>5756</v>
      </c>
      <c r="T165" t="s">
        <v>4276</v>
      </c>
      <c r="V165" t="s">
        <v>5767</v>
      </c>
      <c r="W165" t="s">
        <v>5771</v>
      </c>
      <c r="X165" t="s">
        <v>162</v>
      </c>
      <c r="Y165">
        <v>1020</v>
      </c>
      <c r="Z165" t="s">
        <v>5803</v>
      </c>
      <c r="AA165" t="s">
        <v>5807</v>
      </c>
      <c r="AC165" t="s">
        <v>5960</v>
      </c>
      <c r="AE165" t="s">
        <v>7969</v>
      </c>
      <c r="AF165">
        <v>231</v>
      </c>
      <c r="AG165" t="s">
        <v>9273</v>
      </c>
      <c r="AH165" t="s">
        <v>4280</v>
      </c>
      <c r="AI165">
        <v>7</v>
      </c>
      <c r="AJ165">
        <v>1</v>
      </c>
      <c r="AK165">
        <v>0</v>
      </c>
      <c r="AL165">
        <v>124.9</v>
      </c>
      <c r="AO165" t="s">
        <v>1425</v>
      </c>
      <c r="AP165">
        <v>15600</v>
      </c>
      <c r="AV165">
        <v>1</v>
      </c>
      <c r="AW165" t="s">
        <v>54</v>
      </c>
    </row>
    <row r="166" spans="1:49">
      <c r="A166" s="1">
        <f>HYPERLINK("https://cms.ls-nyc.org/matter/dynamic-profile/view/1891902","19-1891902")</f>
        <v>0</v>
      </c>
      <c r="B166" t="s">
        <v>53</v>
      </c>
      <c r="C166" t="s">
        <v>83</v>
      </c>
      <c r="D166" t="s">
        <v>165</v>
      </c>
      <c r="F166" t="s">
        <v>468</v>
      </c>
      <c r="G166" t="s">
        <v>1520</v>
      </c>
      <c r="H166" t="s">
        <v>2647</v>
      </c>
      <c r="I166" t="s">
        <v>3923</v>
      </c>
      <c r="J166" t="s">
        <v>4255</v>
      </c>
      <c r="K166">
        <v>11372</v>
      </c>
      <c r="L166" t="s">
        <v>4275</v>
      </c>
      <c r="M166" t="s">
        <v>4275</v>
      </c>
      <c r="O166" t="s">
        <v>4282</v>
      </c>
      <c r="P166" t="s">
        <v>4446</v>
      </c>
      <c r="Q166" t="s">
        <v>5731</v>
      </c>
      <c r="R166" t="s">
        <v>5752</v>
      </c>
      <c r="T166" t="s">
        <v>4276</v>
      </c>
      <c r="V166" t="s">
        <v>5767</v>
      </c>
      <c r="Y166">
        <v>1181.75</v>
      </c>
      <c r="Z166" t="s">
        <v>5803</v>
      </c>
      <c r="AA166" t="s">
        <v>5804</v>
      </c>
      <c r="AC166" t="s">
        <v>5990</v>
      </c>
      <c r="AE166" t="s">
        <v>7998</v>
      </c>
      <c r="AF166">
        <v>0</v>
      </c>
      <c r="AG166" t="s">
        <v>9270</v>
      </c>
      <c r="AH166" t="s">
        <v>4280</v>
      </c>
      <c r="AI166">
        <v>2</v>
      </c>
      <c r="AJ166">
        <v>1</v>
      </c>
      <c r="AK166">
        <v>0</v>
      </c>
      <c r="AL166">
        <v>124.9</v>
      </c>
      <c r="AO166" t="s">
        <v>1425</v>
      </c>
      <c r="AP166">
        <v>15600</v>
      </c>
      <c r="AV166">
        <v>1</v>
      </c>
      <c r="AW166" t="s">
        <v>54</v>
      </c>
    </row>
    <row r="167" spans="1:49">
      <c r="A167" s="1">
        <f>HYPERLINK("https://cms.ls-nyc.org/matter/dynamic-profile/view/1872589","18-1872589")</f>
        <v>0</v>
      </c>
      <c r="B167" t="s">
        <v>53</v>
      </c>
      <c r="C167" t="s">
        <v>82</v>
      </c>
      <c r="D167" t="s">
        <v>143</v>
      </c>
      <c r="E167" t="s">
        <v>181</v>
      </c>
      <c r="F167" t="s">
        <v>469</v>
      </c>
      <c r="G167" t="s">
        <v>1521</v>
      </c>
      <c r="H167" t="s">
        <v>2648</v>
      </c>
      <c r="I167" t="s">
        <v>3924</v>
      </c>
      <c r="J167" t="s">
        <v>4249</v>
      </c>
      <c r="K167">
        <v>11428</v>
      </c>
      <c r="L167" t="s">
        <v>4275</v>
      </c>
      <c r="M167" t="s">
        <v>4275</v>
      </c>
      <c r="O167" t="s">
        <v>4282</v>
      </c>
      <c r="P167" t="s">
        <v>4447</v>
      </c>
      <c r="Q167" t="s">
        <v>5731</v>
      </c>
      <c r="R167" t="s">
        <v>5753</v>
      </c>
      <c r="S167" t="s">
        <v>5759</v>
      </c>
      <c r="T167" t="s">
        <v>4276</v>
      </c>
      <c r="V167" t="s">
        <v>5767</v>
      </c>
      <c r="W167" t="s">
        <v>5772</v>
      </c>
      <c r="X167" t="s">
        <v>143</v>
      </c>
      <c r="Y167">
        <v>2200</v>
      </c>
      <c r="Z167" t="s">
        <v>5803</v>
      </c>
      <c r="AA167" t="s">
        <v>5804</v>
      </c>
      <c r="AB167" t="s">
        <v>5821</v>
      </c>
      <c r="AC167" t="s">
        <v>5991</v>
      </c>
      <c r="AD167" t="s">
        <v>4280</v>
      </c>
      <c r="AE167" t="s">
        <v>7999</v>
      </c>
      <c r="AF167">
        <v>2</v>
      </c>
      <c r="AG167" t="s">
        <v>9269</v>
      </c>
      <c r="AH167" t="s">
        <v>4280</v>
      </c>
      <c r="AI167">
        <v>3</v>
      </c>
      <c r="AJ167">
        <v>5</v>
      </c>
      <c r="AK167">
        <v>1</v>
      </c>
      <c r="AL167">
        <v>127.45</v>
      </c>
      <c r="AO167" t="s">
        <v>9298</v>
      </c>
      <c r="AP167">
        <v>43000</v>
      </c>
      <c r="AV167">
        <v>1.95</v>
      </c>
      <c r="AW167" t="s">
        <v>73</v>
      </c>
    </row>
    <row r="168" spans="1:49">
      <c r="A168" s="1">
        <f>HYPERLINK("https://cms.ls-nyc.org/matter/dynamic-profile/view/1874548","18-1874548")</f>
        <v>0</v>
      </c>
      <c r="B168" t="s">
        <v>53</v>
      </c>
      <c r="C168" t="s">
        <v>82</v>
      </c>
      <c r="D168" t="s">
        <v>103</v>
      </c>
      <c r="E168" t="s">
        <v>181</v>
      </c>
      <c r="F168" t="s">
        <v>468</v>
      </c>
      <c r="G168" t="s">
        <v>1522</v>
      </c>
      <c r="H168" t="s">
        <v>2649</v>
      </c>
      <c r="I168">
        <v>1</v>
      </c>
      <c r="J168" t="s">
        <v>4225</v>
      </c>
      <c r="K168">
        <v>11385</v>
      </c>
      <c r="L168" t="s">
        <v>4275</v>
      </c>
      <c r="M168" t="s">
        <v>4275</v>
      </c>
      <c r="O168" t="s">
        <v>4281</v>
      </c>
      <c r="P168" t="s">
        <v>4448</v>
      </c>
      <c r="Q168" t="s">
        <v>5732</v>
      </c>
      <c r="R168" t="s">
        <v>5753</v>
      </c>
      <c r="S168" t="s">
        <v>5759</v>
      </c>
      <c r="T168" t="s">
        <v>4276</v>
      </c>
      <c r="V168" t="s">
        <v>5767</v>
      </c>
      <c r="W168" t="s">
        <v>5772</v>
      </c>
      <c r="X168" t="s">
        <v>103</v>
      </c>
      <c r="Y168">
        <v>1400</v>
      </c>
      <c r="Z168" t="s">
        <v>5803</v>
      </c>
      <c r="AA168" t="s">
        <v>5804</v>
      </c>
      <c r="AB168" t="s">
        <v>5821</v>
      </c>
      <c r="AC168" t="s">
        <v>5992</v>
      </c>
      <c r="AD168" t="s">
        <v>7355</v>
      </c>
      <c r="AE168" t="s">
        <v>8000</v>
      </c>
      <c r="AF168">
        <v>2</v>
      </c>
      <c r="AG168" t="s">
        <v>9269</v>
      </c>
      <c r="AH168" t="s">
        <v>4280</v>
      </c>
      <c r="AI168">
        <v>32</v>
      </c>
      <c r="AJ168">
        <v>1</v>
      </c>
      <c r="AK168">
        <v>0</v>
      </c>
      <c r="AL168">
        <v>132.95</v>
      </c>
      <c r="AO168" t="s">
        <v>1425</v>
      </c>
      <c r="AP168">
        <v>16140</v>
      </c>
      <c r="AV168">
        <v>1.85</v>
      </c>
      <c r="AW168" t="s">
        <v>54</v>
      </c>
    </row>
    <row r="169" spans="1:49">
      <c r="A169" s="1">
        <f>HYPERLINK("https://cms.ls-nyc.org/matter/dynamic-profile/view/1889939","19-1889939")</f>
        <v>0</v>
      </c>
      <c r="B169" t="s">
        <v>53</v>
      </c>
      <c r="C169" t="s">
        <v>83</v>
      </c>
      <c r="D169" t="s">
        <v>175</v>
      </c>
      <c r="F169" t="s">
        <v>470</v>
      </c>
      <c r="G169" t="s">
        <v>1523</v>
      </c>
      <c r="H169" t="s">
        <v>2650</v>
      </c>
      <c r="I169" t="s">
        <v>3925</v>
      </c>
      <c r="J169" t="s">
        <v>4247</v>
      </c>
      <c r="K169">
        <v>11415</v>
      </c>
      <c r="L169" t="s">
        <v>4275</v>
      </c>
      <c r="M169" t="s">
        <v>4275</v>
      </c>
      <c r="O169" t="s">
        <v>4282</v>
      </c>
      <c r="P169" t="s">
        <v>4449</v>
      </c>
      <c r="Q169" t="s">
        <v>5731</v>
      </c>
      <c r="R169" t="s">
        <v>5752</v>
      </c>
      <c r="T169" t="s">
        <v>4276</v>
      </c>
      <c r="V169" t="s">
        <v>5767</v>
      </c>
      <c r="W169" t="s">
        <v>5772</v>
      </c>
      <c r="X169" t="s">
        <v>175</v>
      </c>
      <c r="Y169">
        <v>600</v>
      </c>
      <c r="Z169" t="s">
        <v>5803</v>
      </c>
      <c r="AA169" t="s">
        <v>5804</v>
      </c>
      <c r="AC169" t="s">
        <v>5993</v>
      </c>
      <c r="AE169" t="s">
        <v>8001</v>
      </c>
      <c r="AF169">
        <v>90</v>
      </c>
      <c r="AG169" t="s">
        <v>9272</v>
      </c>
      <c r="AH169" t="s">
        <v>4280</v>
      </c>
      <c r="AI169">
        <v>7</v>
      </c>
      <c r="AJ169">
        <v>3</v>
      </c>
      <c r="AK169">
        <v>0</v>
      </c>
      <c r="AL169">
        <v>135.96</v>
      </c>
      <c r="AO169" t="s">
        <v>1425</v>
      </c>
      <c r="AP169">
        <v>29000</v>
      </c>
      <c r="AV169">
        <v>0.9</v>
      </c>
      <c r="AW169" t="s">
        <v>73</v>
      </c>
    </row>
    <row r="170" spans="1:49">
      <c r="A170" s="1">
        <f>HYPERLINK("https://cms.ls-nyc.org/matter/dynamic-profile/view/1893780","19-1893780")</f>
        <v>0</v>
      </c>
      <c r="B170" t="s">
        <v>53</v>
      </c>
      <c r="C170" t="s">
        <v>83</v>
      </c>
      <c r="D170" t="s">
        <v>179</v>
      </c>
      <c r="F170" t="s">
        <v>471</v>
      </c>
      <c r="G170" t="s">
        <v>1524</v>
      </c>
      <c r="H170" t="s">
        <v>2651</v>
      </c>
      <c r="I170" t="s">
        <v>3926</v>
      </c>
      <c r="J170" t="s">
        <v>4234</v>
      </c>
      <c r="K170">
        <v>11102</v>
      </c>
      <c r="L170" t="s">
        <v>4275</v>
      </c>
      <c r="M170" t="s">
        <v>4275</v>
      </c>
      <c r="O170" t="s">
        <v>4282</v>
      </c>
      <c r="P170" t="s">
        <v>4450</v>
      </c>
      <c r="Q170" t="s">
        <v>5731</v>
      </c>
      <c r="R170" t="s">
        <v>5752</v>
      </c>
      <c r="T170" t="s">
        <v>4276</v>
      </c>
      <c r="V170" t="s">
        <v>5768</v>
      </c>
      <c r="X170" t="s">
        <v>179</v>
      </c>
      <c r="Y170">
        <v>413</v>
      </c>
      <c r="Z170" t="s">
        <v>5803</v>
      </c>
      <c r="AA170" t="s">
        <v>5804</v>
      </c>
      <c r="AC170" t="s">
        <v>5994</v>
      </c>
      <c r="AE170" t="s">
        <v>8002</v>
      </c>
      <c r="AF170">
        <v>0</v>
      </c>
      <c r="AH170" t="s">
        <v>4280</v>
      </c>
      <c r="AI170">
        <v>3</v>
      </c>
      <c r="AJ170">
        <v>2</v>
      </c>
      <c r="AK170">
        <v>2</v>
      </c>
      <c r="AL170">
        <v>136.5</v>
      </c>
      <c r="AO170" t="s">
        <v>1425</v>
      </c>
      <c r="AP170">
        <v>35148</v>
      </c>
      <c r="AV170">
        <v>1.3</v>
      </c>
      <c r="AW170" t="s">
        <v>54</v>
      </c>
    </row>
    <row r="171" spans="1:49">
      <c r="A171" s="1">
        <f>HYPERLINK("https://cms.ls-nyc.org/matter/dynamic-profile/view/1876695","18-1876695")</f>
        <v>0</v>
      </c>
      <c r="B171" t="s">
        <v>53</v>
      </c>
      <c r="C171" t="s">
        <v>83</v>
      </c>
      <c r="D171" t="s">
        <v>178</v>
      </c>
      <c r="F171" t="s">
        <v>472</v>
      </c>
      <c r="G171" t="s">
        <v>1525</v>
      </c>
      <c r="H171" t="s">
        <v>2652</v>
      </c>
      <c r="I171" t="s">
        <v>3867</v>
      </c>
      <c r="J171" t="s">
        <v>4226</v>
      </c>
      <c r="K171">
        <v>11385</v>
      </c>
      <c r="L171" t="s">
        <v>4275</v>
      </c>
      <c r="M171" t="s">
        <v>4275</v>
      </c>
      <c r="O171" t="s">
        <v>4281</v>
      </c>
      <c r="P171" t="s">
        <v>4451</v>
      </c>
      <c r="Q171" t="s">
        <v>5732</v>
      </c>
      <c r="R171" t="s">
        <v>5753</v>
      </c>
      <c r="T171" t="s">
        <v>4276</v>
      </c>
      <c r="V171" t="s">
        <v>5767</v>
      </c>
      <c r="W171" t="s">
        <v>5772</v>
      </c>
      <c r="X171" t="s">
        <v>178</v>
      </c>
      <c r="Y171">
        <v>2100</v>
      </c>
      <c r="Z171" t="s">
        <v>5803</v>
      </c>
      <c r="AA171" t="s">
        <v>5804</v>
      </c>
      <c r="AC171" t="s">
        <v>5995</v>
      </c>
      <c r="AE171" t="s">
        <v>8003</v>
      </c>
      <c r="AF171">
        <v>2</v>
      </c>
      <c r="AG171" t="s">
        <v>9269</v>
      </c>
      <c r="AH171" t="s">
        <v>4280</v>
      </c>
      <c r="AI171">
        <v>1</v>
      </c>
      <c r="AJ171">
        <v>2</v>
      </c>
      <c r="AK171">
        <v>2</v>
      </c>
      <c r="AL171">
        <v>139.44</v>
      </c>
      <c r="AO171" t="s">
        <v>1425</v>
      </c>
      <c r="AP171">
        <v>35000</v>
      </c>
      <c r="AV171">
        <v>1</v>
      </c>
      <c r="AW171" t="s">
        <v>54</v>
      </c>
    </row>
    <row r="172" spans="1:49">
      <c r="A172" s="1">
        <f>HYPERLINK("https://cms.ls-nyc.org/matter/dynamic-profile/view/1876804","18-1876804")</f>
        <v>0</v>
      </c>
      <c r="B172" t="s">
        <v>53</v>
      </c>
      <c r="C172" t="s">
        <v>83</v>
      </c>
      <c r="D172" t="s">
        <v>120</v>
      </c>
      <c r="F172" t="s">
        <v>370</v>
      </c>
      <c r="G172" t="s">
        <v>1526</v>
      </c>
      <c r="H172" t="s">
        <v>2653</v>
      </c>
      <c r="I172" t="s">
        <v>3927</v>
      </c>
      <c r="J172" t="s">
        <v>4249</v>
      </c>
      <c r="K172">
        <v>11429</v>
      </c>
      <c r="L172" t="s">
        <v>4275</v>
      </c>
      <c r="M172" t="s">
        <v>4275</v>
      </c>
      <c r="O172" t="s">
        <v>4282</v>
      </c>
      <c r="P172" t="s">
        <v>4452</v>
      </c>
      <c r="Q172" t="s">
        <v>5732</v>
      </c>
      <c r="R172" t="s">
        <v>5752</v>
      </c>
      <c r="T172" t="s">
        <v>4276</v>
      </c>
      <c r="V172" t="s">
        <v>5767</v>
      </c>
      <c r="W172" t="s">
        <v>5772</v>
      </c>
      <c r="X172" t="s">
        <v>120</v>
      </c>
      <c r="Y172">
        <v>950</v>
      </c>
      <c r="Z172" t="s">
        <v>5803</v>
      </c>
      <c r="AA172" t="s">
        <v>5804</v>
      </c>
      <c r="AC172" t="s">
        <v>5996</v>
      </c>
      <c r="AE172" t="s">
        <v>8004</v>
      </c>
      <c r="AF172">
        <v>1</v>
      </c>
      <c r="AG172" t="s">
        <v>9269</v>
      </c>
      <c r="AH172" t="s">
        <v>4280</v>
      </c>
      <c r="AI172">
        <v>10</v>
      </c>
      <c r="AJ172">
        <v>2</v>
      </c>
      <c r="AK172">
        <v>0</v>
      </c>
      <c r="AL172">
        <v>145.3</v>
      </c>
      <c r="AO172" t="s">
        <v>1425</v>
      </c>
      <c r="AP172">
        <v>23916</v>
      </c>
      <c r="AV172">
        <v>1.1</v>
      </c>
      <c r="AW172" t="s">
        <v>54</v>
      </c>
    </row>
    <row r="173" spans="1:49">
      <c r="A173" s="1">
        <f>HYPERLINK("https://cms.ls-nyc.org/matter/dynamic-profile/view/1876781","18-1876781")</f>
        <v>0</v>
      </c>
      <c r="B173" t="s">
        <v>53</v>
      </c>
      <c r="C173" t="s">
        <v>83</v>
      </c>
      <c r="D173" t="s">
        <v>120</v>
      </c>
      <c r="F173" t="s">
        <v>473</v>
      </c>
      <c r="G173" t="s">
        <v>1527</v>
      </c>
      <c r="H173" t="s">
        <v>2654</v>
      </c>
      <c r="I173" t="s">
        <v>3928</v>
      </c>
      <c r="J173" t="s">
        <v>4243</v>
      </c>
      <c r="K173">
        <v>11691</v>
      </c>
      <c r="L173" t="s">
        <v>4275</v>
      </c>
      <c r="M173" t="s">
        <v>4275</v>
      </c>
      <c r="O173" t="s">
        <v>4282</v>
      </c>
      <c r="P173" t="s">
        <v>4453</v>
      </c>
      <c r="Q173" t="s">
        <v>5731</v>
      </c>
      <c r="R173" t="s">
        <v>5753</v>
      </c>
      <c r="T173" t="s">
        <v>4276</v>
      </c>
      <c r="V173" t="s">
        <v>5767</v>
      </c>
      <c r="W173" t="s">
        <v>5772</v>
      </c>
      <c r="X173" t="s">
        <v>120</v>
      </c>
      <c r="Y173">
        <v>675</v>
      </c>
      <c r="Z173" t="s">
        <v>5803</v>
      </c>
      <c r="AA173" t="s">
        <v>5804</v>
      </c>
      <c r="AC173" t="s">
        <v>5997</v>
      </c>
      <c r="AE173" t="s">
        <v>8005</v>
      </c>
      <c r="AF173">
        <v>120</v>
      </c>
      <c r="AG173" t="s">
        <v>9271</v>
      </c>
      <c r="AH173" t="s">
        <v>4280</v>
      </c>
      <c r="AI173">
        <v>5</v>
      </c>
      <c r="AJ173">
        <v>1</v>
      </c>
      <c r="AK173">
        <v>0</v>
      </c>
      <c r="AL173">
        <v>150.35</v>
      </c>
      <c r="AO173" t="s">
        <v>1425</v>
      </c>
      <c r="AP173">
        <v>18252</v>
      </c>
      <c r="AV173">
        <v>1.18</v>
      </c>
      <c r="AW173" t="s">
        <v>54</v>
      </c>
    </row>
    <row r="174" spans="1:49">
      <c r="A174" s="1">
        <f>HYPERLINK("https://cms.ls-nyc.org/matter/dynamic-profile/view/1880702","18-1880702")</f>
        <v>0</v>
      </c>
      <c r="B174" t="s">
        <v>53</v>
      </c>
      <c r="C174" t="s">
        <v>83</v>
      </c>
      <c r="D174" t="s">
        <v>84</v>
      </c>
      <c r="F174" t="s">
        <v>376</v>
      </c>
      <c r="G174" t="s">
        <v>1528</v>
      </c>
      <c r="H174" t="s">
        <v>2655</v>
      </c>
      <c r="I174" t="s">
        <v>3929</v>
      </c>
      <c r="J174" t="s">
        <v>4243</v>
      </c>
      <c r="K174">
        <v>11691</v>
      </c>
      <c r="L174" t="s">
        <v>4275</v>
      </c>
      <c r="M174" t="s">
        <v>4275</v>
      </c>
      <c r="O174" t="s">
        <v>4283</v>
      </c>
      <c r="P174" t="s">
        <v>4454</v>
      </c>
      <c r="Q174" t="s">
        <v>5732</v>
      </c>
      <c r="R174" t="s">
        <v>5752</v>
      </c>
      <c r="T174" t="s">
        <v>4276</v>
      </c>
      <c r="V174" t="s">
        <v>5767</v>
      </c>
      <c r="W174" t="s">
        <v>5772</v>
      </c>
      <c r="X174" t="s">
        <v>84</v>
      </c>
      <c r="Y174">
        <v>850</v>
      </c>
      <c r="Z174" t="s">
        <v>5803</v>
      </c>
      <c r="AA174" t="s">
        <v>5804</v>
      </c>
      <c r="AC174" t="s">
        <v>5998</v>
      </c>
      <c r="AE174" t="s">
        <v>8006</v>
      </c>
      <c r="AF174">
        <v>2</v>
      </c>
      <c r="AG174" t="s">
        <v>9269</v>
      </c>
      <c r="AH174" t="s">
        <v>4280</v>
      </c>
      <c r="AI174">
        <v>2</v>
      </c>
      <c r="AJ174">
        <v>1</v>
      </c>
      <c r="AK174">
        <v>0</v>
      </c>
      <c r="AL174">
        <v>171.33</v>
      </c>
      <c r="AO174" t="s">
        <v>1425</v>
      </c>
      <c r="AP174">
        <v>20800</v>
      </c>
      <c r="AV174">
        <v>0</v>
      </c>
      <c r="AW174" t="s">
        <v>54</v>
      </c>
    </row>
    <row r="175" spans="1:49">
      <c r="A175" s="1">
        <f>HYPERLINK("https://cms.ls-nyc.org/matter/dynamic-profile/view/1896691","19-1896691")</f>
        <v>0</v>
      </c>
      <c r="B175" t="s">
        <v>53</v>
      </c>
      <c r="C175" t="s">
        <v>83</v>
      </c>
      <c r="D175" t="s">
        <v>117</v>
      </c>
      <c r="F175" t="s">
        <v>474</v>
      </c>
      <c r="G175" t="s">
        <v>1450</v>
      </c>
      <c r="H175" t="s">
        <v>2656</v>
      </c>
      <c r="I175">
        <v>919</v>
      </c>
      <c r="J175" t="s">
        <v>4254</v>
      </c>
      <c r="K175">
        <v>11692</v>
      </c>
      <c r="L175" t="s">
        <v>4275</v>
      </c>
      <c r="M175" t="s">
        <v>4275</v>
      </c>
      <c r="O175" t="s">
        <v>4283</v>
      </c>
      <c r="P175" t="s">
        <v>4455</v>
      </c>
      <c r="Q175" t="s">
        <v>5731</v>
      </c>
      <c r="R175" t="s">
        <v>5752</v>
      </c>
      <c r="T175" t="s">
        <v>4275</v>
      </c>
      <c r="V175" t="s">
        <v>5767</v>
      </c>
      <c r="X175" t="s">
        <v>117</v>
      </c>
      <c r="Y175">
        <v>1885</v>
      </c>
      <c r="Z175" t="s">
        <v>5803</v>
      </c>
      <c r="AA175" t="s">
        <v>5804</v>
      </c>
      <c r="AC175" t="s">
        <v>5999</v>
      </c>
      <c r="AE175" t="s">
        <v>8007</v>
      </c>
      <c r="AF175">
        <v>100</v>
      </c>
      <c r="AI175">
        <v>4</v>
      </c>
      <c r="AJ175">
        <v>2</v>
      </c>
      <c r="AK175">
        <v>2</v>
      </c>
      <c r="AL175">
        <v>174.76</v>
      </c>
      <c r="AO175" t="s">
        <v>1425</v>
      </c>
      <c r="AP175">
        <v>45000</v>
      </c>
      <c r="AV175">
        <v>3.55</v>
      </c>
      <c r="AW175" t="s">
        <v>9547</v>
      </c>
    </row>
    <row r="176" spans="1:49">
      <c r="A176" s="1">
        <f>HYPERLINK("https://cms.ls-nyc.org/matter/dynamic-profile/view/1889298","19-1889298")</f>
        <v>0</v>
      </c>
      <c r="B176" t="s">
        <v>53</v>
      </c>
      <c r="C176" t="s">
        <v>83</v>
      </c>
      <c r="D176" t="s">
        <v>119</v>
      </c>
      <c r="F176" t="s">
        <v>376</v>
      </c>
      <c r="G176" t="s">
        <v>1529</v>
      </c>
      <c r="H176" t="s">
        <v>2657</v>
      </c>
      <c r="I176" t="s">
        <v>3930</v>
      </c>
      <c r="J176" t="s">
        <v>4225</v>
      </c>
      <c r="K176">
        <v>11385</v>
      </c>
      <c r="L176" t="s">
        <v>4275</v>
      </c>
      <c r="M176" t="s">
        <v>4275</v>
      </c>
      <c r="O176" t="s">
        <v>4282</v>
      </c>
      <c r="P176" t="s">
        <v>4456</v>
      </c>
      <c r="Q176" t="s">
        <v>5732</v>
      </c>
      <c r="R176" t="s">
        <v>5752</v>
      </c>
      <c r="T176" t="s">
        <v>4276</v>
      </c>
      <c r="V176" t="s">
        <v>5767</v>
      </c>
      <c r="Y176">
        <v>1730</v>
      </c>
      <c r="Z176" t="s">
        <v>5803</v>
      </c>
      <c r="AA176" t="s">
        <v>5807</v>
      </c>
      <c r="AC176" t="s">
        <v>6000</v>
      </c>
      <c r="AE176" t="s">
        <v>8008</v>
      </c>
      <c r="AF176">
        <v>2</v>
      </c>
      <c r="AG176" t="s">
        <v>9270</v>
      </c>
      <c r="AH176" t="s">
        <v>9282</v>
      </c>
      <c r="AI176">
        <v>11</v>
      </c>
      <c r="AJ176">
        <v>2</v>
      </c>
      <c r="AK176">
        <v>0</v>
      </c>
      <c r="AL176">
        <v>183.32</v>
      </c>
      <c r="AO176" t="s">
        <v>9298</v>
      </c>
      <c r="AP176">
        <v>31000</v>
      </c>
      <c r="AV176">
        <v>1.75</v>
      </c>
      <c r="AW176" t="s">
        <v>54</v>
      </c>
    </row>
    <row r="177" spans="1:49">
      <c r="A177" s="1">
        <f>HYPERLINK("https://cms.ls-nyc.org/matter/dynamic-profile/view/1897124","19-1897124")</f>
        <v>0</v>
      </c>
      <c r="B177" t="s">
        <v>53</v>
      </c>
      <c r="C177" t="s">
        <v>83</v>
      </c>
      <c r="D177" t="s">
        <v>110</v>
      </c>
      <c r="F177" t="s">
        <v>475</v>
      </c>
      <c r="G177" t="s">
        <v>1385</v>
      </c>
      <c r="H177" t="s">
        <v>2658</v>
      </c>
      <c r="J177" t="s">
        <v>4241</v>
      </c>
      <c r="K177">
        <v>11368</v>
      </c>
      <c r="L177" t="s">
        <v>4275</v>
      </c>
      <c r="M177" t="s">
        <v>4275</v>
      </c>
      <c r="O177" t="s">
        <v>4283</v>
      </c>
      <c r="P177" t="s">
        <v>4457</v>
      </c>
      <c r="Q177" t="s">
        <v>5735</v>
      </c>
      <c r="R177" t="s">
        <v>5756</v>
      </c>
      <c r="T177" t="s">
        <v>4276</v>
      </c>
      <c r="V177" t="s">
        <v>5767</v>
      </c>
      <c r="W177" t="s">
        <v>5771</v>
      </c>
      <c r="X177" t="s">
        <v>110</v>
      </c>
      <c r="Y177">
        <v>2010</v>
      </c>
      <c r="Z177" t="s">
        <v>5803</v>
      </c>
      <c r="AA177" t="s">
        <v>5804</v>
      </c>
      <c r="AC177" t="s">
        <v>6001</v>
      </c>
      <c r="AE177" t="s">
        <v>8009</v>
      </c>
      <c r="AF177">
        <v>232</v>
      </c>
      <c r="AG177" t="s">
        <v>9272</v>
      </c>
      <c r="AI177">
        <v>1</v>
      </c>
      <c r="AJ177">
        <v>1</v>
      </c>
      <c r="AK177">
        <v>2</v>
      </c>
      <c r="AL177">
        <v>183.33</v>
      </c>
      <c r="AO177" t="s">
        <v>1425</v>
      </c>
      <c r="AP177">
        <v>39104.04</v>
      </c>
      <c r="AV177">
        <v>0</v>
      </c>
      <c r="AW177" t="s">
        <v>64</v>
      </c>
    </row>
    <row r="178" spans="1:49">
      <c r="A178" s="1">
        <f>HYPERLINK("https://cms.ls-nyc.org/matter/dynamic-profile/view/1893755","19-1893755")</f>
        <v>0</v>
      </c>
      <c r="B178" t="s">
        <v>53</v>
      </c>
      <c r="C178" t="s">
        <v>83</v>
      </c>
      <c r="D178" t="s">
        <v>179</v>
      </c>
      <c r="F178" t="s">
        <v>476</v>
      </c>
      <c r="G178" t="s">
        <v>1530</v>
      </c>
      <c r="H178" t="s">
        <v>2659</v>
      </c>
      <c r="I178" t="s">
        <v>3931</v>
      </c>
      <c r="J178" t="s">
        <v>4229</v>
      </c>
      <c r="K178">
        <v>11355</v>
      </c>
      <c r="L178" t="s">
        <v>4275</v>
      </c>
      <c r="M178" t="s">
        <v>4275</v>
      </c>
      <c r="O178" t="s">
        <v>4282</v>
      </c>
      <c r="P178" t="s">
        <v>4458</v>
      </c>
      <c r="Q178" t="s">
        <v>5732</v>
      </c>
      <c r="R178" t="s">
        <v>5752</v>
      </c>
      <c r="T178" t="s">
        <v>4276</v>
      </c>
      <c r="V178" t="s">
        <v>5767</v>
      </c>
      <c r="X178" t="s">
        <v>179</v>
      </c>
      <c r="Y178">
        <v>1400</v>
      </c>
      <c r="Z178" t="s">
        <v>5803</v>
      </c>
      <c r="AA178" t="s">
        <v>5804</v>
      </c>
      <c r="AC178" t="s">
        <v>6002</v>
      </c>
      <c r="AE178" t="s">
        <v>8010</v>
      </c>
      <c r="AF178">
        <v>7</v>
      </c>
      <c r="AG178" t="s">
        <v>9274</v>
      </c>
      <c r="AH178" t="s">
        <v>4280</v>
      </c>
      <c r="AI178">
        <v>1</v>
      </c>
      <c r="AJ178">
        <v>1</v>
      </c>
      <c r="AK178">
        <v>0</v>
      </c>
      <c r="AL178">
        <v>192.15</v>
      </c>
      <c r="AO178" t="s">
        <v>9307</v>
      </c>
      <c r="AP178">
        <v>24000</v>
      </c>
      <c r="AV178">
        <v>5.3</v>
      </c>
      <c r="AW178" t="s">
        <v>54</v>
      </c>
    </row>
    <row r="179" spans="1:49">
      <c r="A179" s="1">
        <f>HYPERLINK("https://cms.ls-nyc.org/matter/dynamic-profile/view/1891950","19-1891950")</f>
        <v>0</v>
      </c>
      <c r="B179" t="s">
        <v>53</v>
      </c>
      <c r="C179" t="s">
        <v>83</v>
      </c>
      <c r="D179" t="s">
        <v>165</v>
      </c>
      <c r="F179" t="s">
        <v>477</v>
      </c>
      <c r="G179" t="s">
        <v>1531</v>
      </c>
      <c r="H179" t="s">
        <v>2660</v>
      </c>
      <c r="I179" t="s">
        <v>3902</v>
      </c>
      <c r="J179" t="s">
        <v>4223</v>
      </c>
      <c r="K179">
        <v>11423</v>
      </c>
      <c r="L179" t="s">
        <v>4275</v>
      </c>
      <c r="M179" t="s">
        <v>4275</v>
      </c>
      <c r="O179" t="s">
        <v>4282</v>
      </c>
      <c r="P179" t="s">
        <v>4459</v>
      </c>
      <c r="Q179" t="s">
        <v>5731</v>
      </c>
      <c r="R179" t="s">
        <v>5752</v>
      </c>
      <c r="T179" t="s">
        <v>4276</v>
      </c>
      <c r="V179" t="s">
        <v>5767</v>
      </c>
      <c r="Y179">
        <v>1000</v>
      </c>
      <c r="Z179" t="s">
        <v>5803</v>
      </c>
      <c r="AA179" t="s">
        <v>5804</v>
      </c>
      <c r="AC179" t="s">
        <v>6003</v>
      </c>
      <c r="AD179" t="s">
        <v>7356</v>
      </c>
      <c r="AE179" t="s">
        <v>8011</v>
      </c>
      <c r="AF179">
        <v>7</v>
      </c>
      <c r="AG179" t="s">
        <v>9270</v>
      </c>
      <c r="AH179" t="s">
        <v>4280</v>
      </c>
      <c r="AI179">
        <v>16</v>
      </c>
      <c r="AJ179">
        <v>2</v>
      </c>
      <c r="AK179">
        <v>0</v>
      </c>
      <c r="AL179">
        <v>325.25</v>
      </c>
      <c r="AO179" t="s">
        <v>1425</v>
      </c>
      <c r="AP179">
        <v>55000</v>
      </c>
      <c r="AV179">
        <v>0.5</v>
      </c>
      <c r="AW179" t="s">
        <v>54</v>
      </c>
    </row>
    <row r="180" spans="1:49">
      <c r="A180" s="1">
        <f>HYPERLINK("https://cms.ls-nyc.org/matter/dynamic-profile/view/1892239","19-1892239")</f>
        <v>0</v>
      </c>
      <c r="B180" t="s">
        <v>54</v>
      </c>
      <c r="C180" t="s">
        <v>82</v>
      </c>
      <c r="D180" t="s">
        <v>160</v>
      </c>
      <c r="E180" t="s">
        <v>241</v>
      </c>
      <c r="F180" t="s">
        <v>478</v>
      </c>
      <c r="G180" t="s">
        <v>1508</v>
      </c>
      <c r="H180" t="s">
        <v>2661</v>
      </c>
      <c r="I180" t="s">
        <v>3886</v>
      </c>
      <c r="J180" t="s">
        <v>4249</v>
      </c>
      <c r="K180">
        <v>11427</v>
      </c>
      <c r="L180" t="s">
        <v>4275</v>
      </c>
      <c r="M180" t="s">
        <v>4275</v>
      </c>
      <c r="N180" t="s">
        <v>4278</v>
      </c>
      <c r="O180" t="s">
        <v>4282</v>
      </c>
      <c r="P180" t="s">
        <v>4460</v>
      </c>
      <c r="Q180" t="s">
        <v>5731</v>
      </c>
      <c r="R180" t="s">
        <v>5753</v>
      </c>
      <c r="S180" t="s">
        <v>5759</v>
      </c>
      <c r="T180" t="s">
        <v>4276</v>
      </c>
      <c r="V180" t="s">
        <v>5767</v>
      </c>
      <c r="X180" t="s">
        <v>291</v>
      </c>
      <c r="Y180">
        <v>1328</v>
      </c>
      <c r="Z180" t="s">
        <v>5803</v>
      </c>
      <c r="AA180" t="s">
        <v>5804</v>
      </c>
      <c r="AB180" t="s">
        <v>5821</v>
      </c>
      <c r="AC180" t="s">
        <v>6004</v>
      </c>
      <c r="AD180" t="s">
        <v>7357</v>
      </c>
      <c r="AE180" t="s">
        <v>8012</v>
      </c>
      <c r="AF180">
        <v>48</v>
      </c>
      <c r="AH180" t="s">
        <v>4280</v>
      </c>
      <c r="AI180">
        <v>21</v>
      </c>
      <c r="AJ180">
        <v>1</v>
      </c>
      <c r="AK180">
        <v>1</v>
      </c>
      <c r="AL180">
        <v>4.68</v>
      </c>
      <c r="AO180" t="s">
        <v>1425</v>
      </c>
      <c r="AP180">
        <v>791</v>
      </c>
      <c r="AV180">
        <v>3.1</v>
      </c>
      <c r="AW180" t="s">
        <v>54</v>
      </c>
    </row>
    <row r="181" spans="1:49">
      <c r="A181" s="1">
        <f>HYPERLINK("https://cms.ls-nyc.org/matter/dynamic-profile/view/1884055","18-1884055")</f>
        <v>0</v>
      </c>
      <c r="B181" t="s">
        <v>54</v>
      </c>
      <c r="C181" t="s">
        <v>83</v>
      </c>
      <c r="D181" t="s">
        <v>86</v>
      </c>
      <c r="F181" t="s">
        <v>479</v>
      </c>
      <c r="G181" t="s">
        <v>1532</v>
      </c>
      <c r="H181" t="s">
        <v>2662</v>
      </c>
      <c r="I181" t="s">
        <v>3856</v>
      </c>
      <c r="J181" t="s">
        <v>4222</v>
      </c>
      <c r="K181">
        <v>11436</v>
      </c>
      <c r="L181" t="s">
        <v>4275</v>
      </c>
      <c r="M181" t="s">
        <v>4275</v>
      </c>
      <c r="O181" t="s">
        <v>4282</v>
      </c>
      <c r="P181" t="s">
        <v>4461</v>
      </c>
      <c r="Q181" t="s">
        <v>5732</v>
      </c>
      <c r="R181" t="s">
        <v>5752</v>
      </c>
      <c r="T181" t="s">
        <v>4276</v>
      </c>
      <c r="V181" t="s">
        <v>5767</v>
      </c>
      <c r="Y181">
        <v>1300</v>
      </c>
      <c r="Z181" t="s">
        <v>5803</v>
      </c>
      <c r="AA181" t="s">
        <v>5804</v>
      </c>
      <c r="AC181" t="s">
        <v>6005</v>
      </c>
      <c r="AD181" t="s">
        <v>7358</v>
      </c>
      <c r="AE181" t="s">
        <v>8013</v>
      </c>
      <c r="AF181">
        <v>0</v>
      </c>
      <c r="AH181" t="s">
        <v>4280</v>
      </c>
      <c r="AI181">
        <v>5</v>
      </c>
      <c r="AJ181">
        <v>2</v>
      </c>
      <c r="AK181">
        <v>0</v>
      </c>
      <c r="AL181">
        <v>12.15</v>
      </c>
      <c r="AO181" t="s">
        <v>1425</v>
      </c>
      <c r="AP181">
        <v>2000</v>
      </c>
      <c r="AV181">
        <v>0</v>
      </c>
      <c r="AW181" t="s">
        <v>54</v>
      </c>
    </row>
    <row r="182" spans="1:49">
      <c r="A182" s="1">
        <f>HYPERLINK("https://cms.ls-nyc.org/matter/dynamic-profile/view/1877482","18-1877482")</f>
        <v>0</v>
      </c>
      <c r="B182" t="s">
        <v>54</v>
      </c>
      <c r="C182" t="s">
        <v>83</v>
      </c>
      <c r="D182" t="s">
        <v>180</v>
      </c>
      <c r="F182" t="s">
        <v>480</v>
      </c>
      <c r="G182" t="s">
        <v>1533</v>
      </c>
      <c r="H182" t="s">
        <v>2663</v>
      </c>
      <c r="I182" t="s">
        <v>3890</v>
      </c>
      <c r="J182" t="s">
        <v>4225</v>
      </c>
      <c r="K182">
        <v>11385</v>
      </c>
      <c r="L182" t="s">
        <v>4275</v>
      </c>
      <c r="M182" t="s">
        <v>4277</v>
      </c>
      <c r="O182" t="s">
        <v>4281</v>
      </c>
      <c r="P182" t="s">
        <v>4462</v>
      </c>
      <c r="Q182" t="s">
        <v>5731</v>
      </c>
      <c r="R182" t="s">
        <v>5752</v>
      </c>
      <c r="T182" t="s">
        <v>4276</v>
      </c>
      <c r="V182" t="s">
        <v>5767</v>
      </c>
      <c r="Y182">
        <v>815.67</v>
      </c>
      <c r="Z182" t="s">
        <v>5803</v>
      </c>
      <c r="AA182" t="s">
        <v>5804</v>
      </c>
      <c r="AC182" t="s">
        <v>6006</v>
      </c>
      <c r="AD182" t="s">
        <v>7359</v>
      </c>
      <c r="AE182" t="s">
        <v>8014</v>
      </c>
      <c r="AF182">
        <v>6</v>
      </c>
      <c r="AG182" t="s">
        <v>9270</v>
      </c>
      <c r="AH182" t="s">
        <v>4280</v>
      </c>
      <c r="AI182">
        <v>48</v>
      </c>
      <c r="AJ182">
        <v>2</v>
      </c>
      <c r="AK182">
        <v>0</v>
      </c>
      <c r="AL182">
        <v>22.9</v>
      </c>
      <c r="AO182" t="s">
        <v>1425</v>
      </c>
      <c r="AP182">
        <v>3770</v>
      </c>
      <c r="AV182">
        <v>0</v>
      </c>
      <c r="AW182" t="s">
        <v>54</v>
      </c>
    </row>
    <row r="183" spans="1:49">
      <c r="A183" s="1">
        <f>HYPERLINK("https://cms.ls-nyc.org/matter/dynamic-profile/view/1877497","18-1877497")</f>
        <v>0</v>
      </c>
      <c r="B183" t="s">
        <v>54</v>
      </c>
      <c r="C183" t="s">
        <v>83</v>
      </c>
      <c r="D183" t="s">
        <v>180</v>
      </c>
      <c r="F183" t="s">
        <v>481</v>
      </c>
      <c r="G183" t="s">
        <v>1534</v>
      </c>
      <c r="H183" t="s">
        <v>2664</v>
      </c>
      <c r="I183">
        <v>1</v>
      </c>
      <c r="J183" t="s">
        <v>4223</v>
      </c>
      <c r="K183">
        <v>11423</v>
      </c>
      <c r="L183" t="s">
        <v>4275</v>
      </c>
      <c r="M183" t="s">
        <v>4277</v>
      </c>
      <c r="O183" t="s">
        <v>4282</v>
      </c>
      <c r="P183" t="s">
        <v>4463</v>
      </c>
      <c r="Q183" t="s">
        <v>5731</v>
      </c>
      <c r="R183" t="s">
        <v>5752</v>
      </c>
      <c r="T183" t="s">
        <v>4276</v>
      </c>
      <c r="V183" t="s">
        <v>5767</v>
      </c>
      <c r="Y183">
        <v>1995</v>
      </c>
      <c r="Z183" t="s">
        <v>5803</v>
      </c>
      <c r="AA183" t="s">
        <v>5804</v>
      </c>
      <c r="AC183" t="s">
        <v>6007</v>
      </c>
      <c r="AD183" t="s">
        <v>7360</v>
      </c>
      <c r="AE183" t="s">
        <v>8015</v>
      </c>
      <c r="AF183">
        <v>40</v>
      </c>
      <c r="AG183" t="s">
        <v>9270</v>
      </c>
      <c r="AH183" t="s">
        <v>9286</v>
      </c>
      <c r="AI183">
        <v>3</v>
      </c>
      <c r="AJ183">
        <v>1</v>
      </c>
      <c r="AK183">
        <v>4</v>
      </c>
      <c r="AL183">
        <v>25.7</v>
      </c>
      <c r="AO183" t="s">
        <v>1425</v>
      </c>
      <c r="AP183">
        <v>7562</v>
      </c>
      <c r="AV183">
        <v>0</v>
      </c>
      <c r="AW183" t="s">
        <v>54</v>
      </c>
    </row>
    <row r="184" spans="1:49">
      <c r="A184" s="1">
        <f>HYPERLINK("https://cms.ls-nyc.org/matter/dynamic-profile/view/1879547","18-1879547")</f>
        <v>0</v>
      </c>
      <c r="B184" t="s">
        <v>54</v>
      </c>
      <c r="C184" t="s">
        <v>83</v>
      </c>
      <c r="D184" t="s">
        <v>128</v>
      </c>
      <c r="F184" t="s">
        <v>482</v>
      </c>
      <c r="G184" t="s">
        <v>1535</v>
      </c>
      <c r="H184" t="s">
        <v>2665</v>
      </c>
      <c r="J184" t="s">
        <v>4226</v>
      </c>
      <c r="K184">
        <v>11385</v>
      </c>
      <c r="L184" t="s">
        <v>4275</v>
      </c>
      <c r="M184" t="s">
        <v>4275</v>
      </c>
      <c r="O184" t="s">
        <v>4282</v>
      </c>
      <c r="P184" t="s">
        <v>4464</v>
      </c>
      <c r="Q184" t="s">
        <v>5732</v>
      </c>
      <c r="R184" t="s">
        <v>5752</v>
      </c>
      <c r="T184" t="s">
        <v>4276</v>
      </c>
      <c r="V184" t="s">
        <v>5767</v>
      </c>
      <c r="Y184">
        <v>1475</v>
      </c>
      <c r="Z184" t="s">
        <v>5803</v>
      </c>
      <c r="AA184" t="s">
        <v>5804</v>
      </c>
      <c r="AC184" t="s">
        <v>6008</v>
      </c>
      <c r="AD184" t="s">
        <v>7361</v>
      </c>
      <c r="AE184" t="s">
        <v>8016</v>
      </c>
      <c r="AF184">
        <v>0</v>
      </c>
      <c r="AG184" t="s">
        <v>9270</v>
      </c>
      <c r="AH184" t="s">
        <v>4280</v>
      </c>
      <c r="AI184">
        <v>11</v>
      </c>
      <c r="AJ184">
        <v>2</v>
      </c>
      <c r="AK184">
        <v>2</v>
      </c>
      <c r="AL184">
        <v>72</v>
      </c>
      <c r="AO184" t="s">
        <v>1425</v>
      </c>
      <c r="AP184">
        <v>18072</v>
      </c>
      <c r="AV184">
        <v>0</v>
      </c>
      <c r="AW184" t="s">
        <v>54</v>
      </c>
    </row>
    <row r="185" spans="1:49">
      <c r="A185" s="1">
        <f>HYPERLINK("https://cms.ls-nyc.org/matter/dynamic-profile/view/1877435","18-1877435")</f>
        <v>0</v>
      </c>
      <c r="B185" t="s">
        <v>54</v>
      </c>
      <c r="C185" t="s">
        <v>82</v>
      </c>
      <c r="D185" t="s">
        <v>181</v>
      </c>
      <c r="E185" t="s">
        <v>242</v>
      </c>
      <c r="F185" t="s">
        <v>483</v>
      </c>
      <c r="G185" t="s">
        <v>1021</v>
      </c>
      <c r="H185" t="s">
        <v>2666</v>
      </c>
      <c r="I185" t="s">
        <v>3932</v>
      </c>
      <c r="J185" t="s">
        <v>4229</v>
      </c>
      <c r="K185">
        <v>11367</v>
      </c>
      <c r="L185" t="s">
        <v>4275</v>
      </c>
      <c r="M185" t="s">
        <v>4275</v>
      </c>
      <c r="O185" t="s">
        <v>4283</v>
      </c>
      <c r="P185" t="s">
        <v>4465</v>
      </c>
      <c r="Q185" t="s">
        <v>5732</v>
      </c>
      <c r="R185" t="s">
        <v>5753</v>
      </c>
      <c r="S185" t="s">
        <v>5759</v>
      </c>
      <c r="T185" t="s">
        <v>4276</v>
      </c>
      <c r="V185" t="s">
        <v>5767</v>
      </c>
      <c r="W185" t="s">
        <v>5772</v>
      </c>
      <c r="X185" t="s">
        <v>181</v>
      </c>
      <c r="Y185">
        <v>950</v>
      </c>
      <c r="Z185" t="s">
        <v>5803</v>
      </c>
      <c r="AA185" t="s">
        <v>5807</v>
      </c>
      <c r="AB185" t="s">
        <v>5821</v>
      </c>
      <c r="AC185" t="s">
        <v>6009</v>
      </c>
      <c r="AD185" t="s">
        <v>7362</v>
      </c>
      <c r="AE185" t="s">
        <v>8017</v>
      </c>
      <c r="AF185">
        <v>3</v>
      </c>
      <c r="AG185" t="s">
        <v>9272</v>
      </c>
      <c r="AH185" t="s">
        <v>9285</v>
      </c>
      <c r="AI185">
        <v>30</v>
      </c>
      <c r="AJ185">
        <v>1</v>
      </c>
      <c r="AK185">
        <v>0</v>
      </c>
      <c r="AL185">
        <v>74.14</v>
      </c>
      <c r="AO185" t="s">
        <v>1425</v>
      </c>
      <c r="AP185">
        <v>9000</v>
      </c>
      <c r="AV185">
        <v>1.1</v>
      </c>
      <c r="AW185" t="s">
        <v>54</v>
      </c>
    </row>
    <row r="186" spans="1:49">
      <c r="A186" s="1">
        <f>HYPERLINK("https://cms.ls-nyc.org/matter/dynamic-profile/view/1886242","18-1886242")</f>
        <v>0</v>
      </c>
      <c r="B186" t="s">
        <v>54</v>
      </c>
      <c r="C186" t="s">
        <v>83</v>
      </c>
      <c r="D186" t="s">
        <v>182</v>
      </c>
      <c r="F186" t="s">
        <v>337</v>
      </c>
      <c r="G186" t="s">
        <v>1536</v>
      </c>
      <c r="H186" t="s">
        <v>2667</v>
      </c>
      <c r="I186" t="s">
        <v>3866</v>
      </c>
      <c r="J186" t="s">
        <v>4245</v>
      </c>
      <c r="K186">
        <v>11418</v>
      </c>
      <c r="L186" t="s">
        <v>4275</v>
      </c>
      <c r="M186" t="s">
        <v>4275</v>
      </c>
      <c r="O186" t="s">
        <v>4282</v>
      </c>
      <c r="P186" t="s">
        <v>4466</v>
      </c>
      <c r="Q186" t="s">
        <v>5732</v>
      </c>
      <c r="R186" t="s">
        <v>5752</v>
      </c>
      <c r="T186" t="s">
        <v>4276</v>
      </c>
      <c r="V186" t="s">
        <v>5767</v>
      </c>
      <c r="Y186">
        <v>1400</v>
      </c>
      <c r="Z186" t="s">
        <v>5803</v>
      </c>
      <c r="AA186" t="s">
        <v>5804</v>
      </c>
      <c r="AC186" t="s">
        <v>6010</v>
      </c>
      <c r="AD186" t="s">
        <v>7363</v>
      </c>
      <c r="AE186" t="s">
        <v>8018</v>
      </c>
      <c r="AF186">
        <v>0</v>
      </c>
      <c r="AG186" t="s">
        <v>9270</v>
      </c>
      <c r="AH186" t="s">
        <v>9282</v>
      </c>
      <c r="AI186">
        <v>21</v>
      </c>
      <c r="AJ186">
        <v>1</v>
      </c>
      <c r="AK186">
        <v>0</v>
      </c>
      <c r="AL186">
        <v>79.08</v>
      </c>
      <c r="AO186" t="s">
        <v>1425</v>
      </c>
      <c r="AP186">
        <v>9600</v>
      </c>
      <c r="AV186">
        <v>0</v>
      </c>
      <c r="AW186" t="s">
        <v>54</v>
      </c>
    </row>
    <row r="187" spans="1:49">
      <c r="A187" s="1">
        <f>HYPERLINK("https://cms.ls-nyc.org/matter/dynamic-profile/view/1873770","18-1873770")</f>
        <v>0</v>
      </c>
      <c r="B187" t="s">
        <v>54</v>
      </c>
      <c r="C187" t="s">
        <v>82</v>
      </c>
      <c r="D187" t="s">
        <v>112</v>
      </c>
      <c r="E187" t="s">
        <v>151</v>
      </c>
      <c r="F187" t="s">
        <v>326</v>
      </c>
      <c r="G187" t="s">
        <v>1537</v>
      </c>
      <c r="H187" t="s">
        <v>2668</v>
      </c>
      <c r="I187">
        <v>102</v>
      </c>
      <c r="J187" t="s">
        <v>4254</v>
      </c>
      <c r="K187">
        <v>11692</v>
      </c>
      <c r="L187" t="s">
        <v>4275</v>
      </c>
      <c r="M187" t="s">
        <v>4275</v>
      </c>
      <c r="O187" t="s">
        <v>4283</v>
      </c>
      <c r="P187" t="s">
        <v>4467</v>
      </c>
      <c r="Q187" t="s">
        <v>5731</v>
      </c>
      <c r="R187" t="s">
        <v>5753</v>
      </c>
      <c r="S187" t="s">
        <v>5759</v>
      </c>
      <c r="T187" t="s">
        <v>4276</v>
      </c>
      <c r="V187" t="s">
        <v>5767</v>
      </c>
      <c r="W187" t="s">
        <v>5772</v>
      </c>
      <c r="X187" t="s">
        <v>131</v>
      </c>
      <c r="Y187">
        <v>2350</v>
      </c>
      <c r="Z187" t="s">
        <v>5803</v>
      </c>
      <c r="AA187" t="s">
        <v>5804</v>
      </c>
      <c r="AB187" t="s">
        <v>5821</v>
      </c>
      <c r="AC187" t="s">
        <v>6011</v>
      </c>
      <c r="AD187" t="s">
        <v>7364</v>
      </c>
      <c r="AE187" t="s">
        <v>8019</v>
      </c>
      <c r="AF187">
        <v>1091</v>
      </c>
      <c r="AG187" t="s">
        <v>9273</v>
      </c>
      <c r="AH187" t="s">
        <v>9282</v>
      </c>
      <c r="AI187">
        <v>26</v>
      </c>
      <c r="AJ187">
        <v>1</v>
      </c>
      <c r="AK187">
        <v>2</v>
      </c>
      <c r="AL187">
        <v>87.58</v>
      </c>
      <c r="AO187" t="s">
        <v>1425</v>
      </c>
      <c r="AP187">
        <v>18200</v>
      </c>
      <c r="AV187">
        <v>0.3</v>
      </c>
      <c r="AW187" t="s">
        <v>54</v>
      </c>
    </row>
    <row r="188" spans="1:49">
      <c r="A188" s="1">
        <f>HYPERLINK("https://cms.ls-nyc.org/matter/dynamic-profile/view/1887407","19-1887407")</f>
        <v>0</v>
      </c>
      <c r="B188" t="s">
        <v>54</v>
      </c>
      <c r="C188" t="s">
        <v>83</v>
      </c>
      <c r="D188" t="s">
        <v>183</v>
      </c>
      <c r="F188" t="s">
        <v>484</v>
      </c>
      <c r="G188" t="s">
        <v>1538</v>
      </c>
      <c r="H188" t="s">
        <v>2669</v>
      </c>
      <c r="I188" t="s">
        <v>3933</v>
      </c>
      <c r="J188" t="s">
        <v>4241</v>
      </c>
      <c r="K188">
        <v>11368</v>
      </c>
      <c r="L188" t="s">
        <v>4275</v>
      </c>
      <c r="M188" t="s">
        <v>4275</v>
      </c>
      <c r="O188" t="s">
        <v>4282</v>
      </c>
      <c r="P188" t="s">
        <v>4468</v>
      </c>
      <c r="Q188" t="s">
        <v>5731</v>
      </c>
      <c r="R188" t="s">
        <v>5752</v>
      </c>
      <c r="T188" t="s">
        <v>4276</v>
      </c>
      <c r="V188" t="s">
        <v>5767</v>
      </c>
      <c r="Y188">
        <v>1996</v>
      </c>
      <c r="Z188" t="s">
        <v>5803</v>
      </c>
      <c r="AA188" t="s">
        <v>5804</v>
      </c>
      <c r="AC188" t="s">
        <v>6012</v>
      </c>
      <c r="AE188" t="s">
        <v>8020</v>
      </c>
      <c r="AF188">
        <v>234</v>
      </c>
      <c r="AG188" t="s">
        <v>9270</v>
      </c>
      <c r="AH188" t="s">
        <v>4280</v>
      </c>
      <c r="AI188">
        <v>1</v>
      </c>
      <c r="AJ188">
        <v>2</v>
      </c>
      <c r="AK188">
        <v>1</v>
      </c>
      <c r="AL188">
        <v>95.28</v>
      </c>
      <c r="AO188" t="s">
        <v>1425</v>
      </c>
      <c r="AP188">
        <v>19800</v>
      </c>
      <c r="AV188">
        <v>0</v>
      </c>
      <c r="AW188" t="s">
        <v>54</v>
      </c>
    </row>
    <row r="189" spans="1:49">
      <c r="A189" s="1">
        <f>HYPERLINK("https://cms.ls-nyc.org/matter/dynamic-profile/view/1882196","18-1882196")</f>
        <v>0</v>
      </c>
      <c r="B189" t="s">
        <v>54</v>
      </c>
      <c r="C189" t="s">
        <v>83</v>
      </c>
      <c r="D189" t="s">
        <v>130</v>
      </c>
      <c r="F189" t="s">
        <v>339</v>
      </c>
      <c r="G189" t="s">
        <v>1539</v>
      </c>
      <c r="H189" t="s">
        <v>2670</v>
      </c>
      <c r="I189" t="s">
        <v>3870</v>
      </c>
      <c r="J189" t="s">
        <v>4252</v>
      </c>
      <c r="K189">
        <v>11374</v>
      </c>
      <c r="L189" t="s">
        <v>4275</v>
      </c>
      <c r="M189" t="s">
        <v>4275</v>
      </c>
      <c r="O189" t="s">
        <v>4282</v>
      </c>
      <c r="P189" t="s">
        <v>4469</v>
      </c>
      <c r="Q189" t="s">
        <v>5731</v>
      </c>
      <c r="R189" t="s">
        <v>5752</v>
      </c>
      <c r="T189" t="s">
        <v>4276</v>
      </c>
      <c r="V189" t="s">
        <v>5767</v>
      </c>
      <c r="Y189">
        <v>1600</v>
      </c>
      <c r="Z189" t="s">
        <v>5803</v>
      </c>
      <c r="AA189" t="s">
        <v>5804</v>
      </c>
      <c r="AC189" t="s">
        <v>6013</v>
      </c>
      <c r="AE189" t="s">
        <v>8021</v>
      </c>
      <c r="AF189">
        <v>4</v>
      </c>
      <c r="AG189" t="s">
        <v>9270</v>
      </c>
      <c r="AH189" t="s">
        <v>4280</v>
      </c>
      <c r="AI189">
        <v>3</v>
      </c>
      <c r="AJ189">
        <v>3</v>
      </c>
      <c r="AK189">
        <v>0</v>
      </c>
      <c r="AL189">
        <v>120.31</v>
      </c>
      <c r="AO189" t="s">
        <v>1425</v>
      </c>
      <c r="AP189">
        <v>25000</v>
      </c>
      <c r="AV189">
        <v>0</v>
      </c>
      <c r="AW189" t="s">
        <v>54</v>
      </c>
    </row>
    <row r="190" spans="1:49">
      <c r="A190" s="1">
        <f>HYPERLINK("https://cms.ls-nyc.org/matter/dynamic-profile/view/1887399","19-1887399")</f>
        <v>0</v>
      </c>
      <c r="B190" t="s">
        <v>54</v>
      </c>
      <c r="C190" t="s">
        <v>83</v>
      </c>
      <c r="D190" t="s">
        <v>183</v>
      </c>
      <c r="F190" t="s">
        <v>485</v>
      </c>
      <c r="G190" t="s">
        <v>1522</v>
      </c>
      <c r="H190" t="s">
        <v>2671</v>
      </c>
      <c r="I190" t="s">
        <v>3927</v>
      </c>
      <c r="J190" t="s">
        <v>4244</v>
      </c>
      <c r="K190">
        <v>11413</v>
      </c>
      <c r="L190" t="s">
        <v>4275</v>
      </c>
      <c r="M190" t="s">
        <v>4275</v>
      </c>
      <c r="O190" t="s">
        <v>4282</v>
      </c>
      <c r="P190" t="s">
        <v>4470</v>
      </c>
      <c r="Q190" t="s">
        <v>5732</v>
      </c>
      <c r="R190" t="s">
        <v>5752</v>
      </c>
      <c r="T190" t="s">
        <v>4276</v>
      </c>
      <c r="V190" t="s">
        <v>5767</v>
      </c>
      <c r="Y190">
        <v>1400</v>
      </c>
      <c r="Z190" t="s">
        <v>5803</v>
      </c>
      <c r="AA190" t="s">
        <v>5804</v>
      </c>
      <c r="AC190" t="s">
        <v>6014</v>
      </c>
      <c r="AD190" t="s">
        <v>7365</v>
      </c>
      <c r="AE190" t="s">
        <v>8022</v>
      </c>
      <c r="AF190">
        <v>0</v>
      </c>
      <c r="AG190" t="s">
        <v>9270</v>
      </c>
      <c r="AH190" t="s">
        <v>4280</v>
      </c>
      <c r="AI190">
        <v>3</v>
      </c>
      <c r="AJ190">
        <v>2</v>
      </c>
      <c r="AK190">
        <v>1</v>
      </c>
      <c r="AL190">
        <v>181.17</v>
      </c>
      <c r="AO190" t="s">
        <v>1425</v>
      </c>
      <c r="AP190">
        <v>37648</v>
      </c>
      <c r="AV190">
        <v>0</v>
      </c>
      <c r="AW190" t="s">
        <v>54</v>
      </c>
    </row>
    <row r="191" spans="1:49">
      <c r="A191" s="1">
        <f>HYPERLINK("https://cms.ls-nyc.org/matter/dynamic-profile/view/1886223","18-1886223")</f>
        <v>0</v>
      </c>
      <c r="B191" t="s">
        <v>54</v>
      </c>
      <c r="C191" t="s">
        <v>83</v>
      </c>
      <c r="D191" t="s">
        <v>182</v>
      </c>
      <c r="F191" t="s">
        <v>486</v>
      </c>
      <c r="G191" t="s">
        <v>1540</v>
      </c>
      <c r="H191" t="s">
        <v>2672</v>
      </c>
      <c r="I191" t="s">
        <v>3934</v>
      </c>
      <c r="J191" t="s">
        <v>4229</v>
      </c>
      <c r="K191">
        <v>11355</v>
      </c>
      <c r="L191" t="s">
        <v>4276</v>
      </c>
      <c r="M191" t="s">
        <v>4276</v>
      </c>
      <c r="O191" t="s">
        <v>4283</v>
      </c>
      <c r="P191" t="s">
        <v>4471</v>
      </c>
      <c r="Q191" t="s">
        <v>5732</v>
      </c>
      <c r="R191" t="s">
        <v>5752</v>
      </c>
      <c r="T191" t="s">
        <v>4276</v>
      </c>
      <c r="V191" t="s">
        <v>5767</v>
      </c>
      <c r="Y191">
        <v>1340</v>
      </c>
      <c r="Z191" t="s">
        <v>5803</v>
      </c>
      <c r="AA191" t="s">
        <v>5804</v>
      </c>
      <c r="AC191" t="s">
        <v>6015</v>
      </c>
      <c r="AE191" t="s">
        <v>8023</v>
      </c>
      <c r="AF191">
        <v>6</v>
      </c>
      <c r="AG191" t="s">
        <v>9270</v>
      </c>
      <c r="AH191" t="s">
        <v>4280</v>
      </c>
      <c r="AI191">
        <v>13</v>
      </c>
      <c r="AJ191">
        <v>3</v>
      </c>
      <c r="AK191">
        <v>0</v>
      </c>
      <c r="AL191">
        <v>182.87</v>
      </c>
      <c r="AO191" t="s">
        <v>1425</v>
      </c>
      <c r="AP191">
        <v>38000</v>
      </c>
      <c r="AV191">
        <v>0</v>
      </c>
      <c r="AW191" t="s">
        <v>54</v>
      </c>
    </row>
    <row r="192" spans="1:49">
      <c r="A192" s="1">
        <f>HYPERLINK("https://cms.ls-nyc.org/matter/dynamic-profile/view/1888029","19-1888029")</f>
        <v>0</v>
      </c>
      <c r="B192" t="s">
        <v>55</v>
      </c>
      <c r="C192" t="s">
        <v>82</v>
      </c>
      <c r="D192" t="s">
        <v>152</v>
      </c>
      <c r="E192" t="s">
        <v>135</v>
      </c>
      <c r="F192" t="s">
        <v>487</v>
      </c>
      <c r="G192" t="s">
        <v>1541</v>
      </c>
      <c r="H192" t="s">
        <v>2673</v>
      </c>
      <c r="I192" t="s">
        <v>3866</v>
      </c>
      <c r="J192" t="s">
        <v>4222</v>
      </c>
      <c r="K192">
        <v>11433</v>
      </c>
      <c r="L192" t="s">
        <v>4275</v>
      </c>
      <c r="M192" t="s">
        <v>4275</v>
      </c>
      <c r="O192" t="s">
        <v>4282</v>
      </c>
      <c r="P192" t="s">
        <v>4472</v>
      </c>
      <c r="Q192" t="s">
        <v>5732</v>
      </c>
      <c r="R192" t="s">
        <v>5753</v>
      </c>
      <c r="S192" t="s">
        <v>5759</v>
      </c>
      <c r="T192" t="s">
        <v>4276</v>
      </c>
      <c r="V192" t="s">
        <v>5767</v>
      </c>
      <c r="Y192">
        <v>1500</v>
      </c>
      <c r="Z192" t="s">
        <v>5803</v>
      </c>
      <c r="AA192" t="s">
        <v>5804</v>
      </c>
      <c r="AB192" t="s">
        <v>5821</v>
      </c>
      <c r="AC192" t="s">
        <v>6016</v>
      </c>
      <c r="AE192" t="s">
        <v>8024</v>
      </c>
      <c r="AF192">
        <v>2</v>
      </c>
      <c r="AG192" t="s">
        <v>9270</v>
      </c>
      <c r="AH192" t="s">
        <v>4280</v>
      </c>
      <c r="AI192">
        <v>1</v>
      </c>
      <c r="AJ192">
        <v>1</v>
      </c>
      <c r="AK192">
        <v>1</v>
      </c>
      <c r="AL192">
        <v>0</v>
      </c>
      <c r="AO192" t="s">
        <v>1425</v>
      </c>
      <c r="AP192">
        <v>0</v>
      </c>
      <c r="AV192">
        <v>1.6</v>
      </c>
      <c r="AW192" t="s">
        <v>54</v>
      </c>
    </row>
    <row r="193" spans="1:49">
      <c r="A193" s="1">
        <f>HYPERLINK("https://cms.ls-nyc.org/matter/dynamic-profile/view/1892298","19-1892298")</f>
        <v>0</v>
      </c>
      <c r="B193" t="s">
        <v>55</v>
      </c>
      <c r="C193" t="s">
        <v>82</v>
      </c>
      <c r="D193" t="s">
        <v>160</v>
      </c>
      <c r="E193" t="s">
        <v>91</v>
      </c>
      <c r="F193" t="s">
        <v>488</v>
      </c>
      <c r="G193" t="s">
        <v>1542</v>
      </c>
      <c r="H193" t="s">
        <v>2674</v>
      </c>
      <c r="J193" t="s">
        <v>4245</v>
      </c>
      <c r="K193">
        <v>11418</v>
      </c>
      <c r="L193" t="s">
        <v>4275</v>
      </c>
      <c r="M193" t="s">
        <v>4275</v>
      </c>
      <c r="N193" t="s">
        <v>4278</v>
      </c>
      <c r="O193" t="s">
        <v>4282</v>
      </c>
      <c r="P193" t="s">
        <v>4473</v>
      </c>
      <c r="Q193" t="s">
        <v>5731</v>
      </c>
      <c r="R193" t="s">
        <v>5751</v>
      </c>
      <c r="S193" t="s">
        <v>5758</v>
      </c>
      <c r="T193" t="s">
        <v>4276</v>
      </c>
      <c r="V193" t="s">
        <v>5767</v>
      </c>
      <c r="W193" t="s">
        <v>5773</v>
      </c>
      <c r="X193" t="s">
        <v>114</v>
      </c>
      <c r="Y193">
        <v>849.47</v>
      </c>
      <c r="Z193" t="s">
        <v>5803</v>
      </c>
      <c r="AA193" t="s">
        <v>5804</v>
      </c>
      <c r="AB193" t="s">
        <v>5820</v>
      </c>
      <c r="AC193" t="s">
        <v>6017</v>
      </c>
      <c r="AD193" t="s">
        <v>7366</v>
      </c>
      <c r="AE193" t="s">
        <v>8025</v>
      </c>
      <c r="AF193">
        <v>65</v>
      </c>
      <c r="AG193" t="s">
        <v>9272</v>
      </c>
      <c r="AH193" t="s">
        <v>9287</v>
      </c>
      <c r="AI193">
        <v>6</v>
      </c>
      <c r="AJ193">
        <v>1</v>
      </c>
      <c r="AK193">
        <v>0</v>
      </c>
      <c r="AL193">
        <v>0</v>
      </c>
      <c r="AO193" t="s">
        <v>1425</v>
      </c>
      <c r="AP193">
        <v>0</v>
      </c>
      <c r="AS193" t="s">
        <v>9336</v>
      </c>
      <c r="AT193" t="s">
        <v>9369</v>
      </c>
      <c r="AU193" t="s">
        <v>9401</v>
      </c>
      <c r="AV193">
        <v>12.56</v>
      </c>
      <c r="AW193" t="s">
        <v>54</v>
      </c>
    </row>
    <row r="194" spans="1:49">
      <c r="A194" s="1">
        <f>HYPERLINK("https://cms.ls-nyc.org/matter/dynamic-profile/view/1899257","19-1899257")</f>
        <v>0</v>
      </c>
      <c r="B194" t="s">
        <v>55</v>
      </c>
      <c r="C194" t="s">
        <v>82</v>
      </c>
      <c r="D194" t="s">
        <v>161</v>
      </c>
      <c r="E194" t="s">
        <v>95</v>
      </c>
      <c r="F194" t="s">
        <v>489</v>
      </c>
      <c r="G194" t="s">
        <v>1543</v>
      </c>
      <c r="H194" t="s">
        <v>2675</v>
      </c>
      <c r="I194" t="s">
        <v>3935</v>
      </c>
      <c r="J194" t="s">
        <v>4241</v>
      </c>
      <c r="K194">
        <v>11368</v>
      </c>
      <c r="L194" t="s">
        <v>4275</v>
      </c>
      <c r="M194" t="s">
        <v>4277</v>
      </c>
      <c r="N194" t="s">
        <v>4279</v>
      </c>
      <c r="O194" t="s">
        <v>4282</v>
      </c>
      <c r="P194" t="s">
        <v>4474</v>
      </c>
      <c r="Q194" t="s">
        <v>5731</v>
      </c>
      <c r="R194" t="s">
        <v>5753</v>
      </c>
      <c r="S194" t="s">
        <v>5759</v>
      </c>
      <c r="V194" t="s">
        <v>5767</v>
      </c>
      <c r="X194" t="s">
        <v>161</v>
      </c>
      <c r="Y194">
        <v>1905</v>
      </c>
      <c r="Z194" t="s">
        <v>5803</v>
      </c>
      <c r="AA194" t="s">
        <v>5804</v>
      </c>
      <c r="AB194" t="s">
        <v>5822</v>
      </c>
      <c r="AC194" t="s">
        <v>6018</v>
      </c>
      <c r="AD194" t="s">
        <v>7367</v>
      </c>
      <c r="AE194" t="s">
        <v>8026</v>
      </c>
      <c r="AF194">
        <v>100</v>
      </c>
      <c r="AG194" t="s">
        <v>9272</v>
      </c>
      <c r="AH194" t="s">
        <v>4280</v>
      </c>
      <c r="AI194">
        <v>1</v>
      </c>
      <c r="AJ194">
        <v>1</v>
      </c>
      <c r="AK194">
        <v>2</v>
      </c>
      <c r="AL194">
        <v>0</v>
      </c>
      <c r="AO194" t="s">
        <v>9306</v>
      </c>
      <c r="AP194">
        <v>0</v>
      </c>
      <c r="AV194">
        <v>2.61</v>
      </c>
      <c r="AW194" t="s">
        <v>74</v>
      </c>
    </row>
    <row r="195" spans="1:49">
      <c r="A195" s="1">
        <f>HYPERLINK("https://cms.ls-nyc.org/matter/dynamic-profile/view/1880085","18-1880085")</f>
        <v>0</v>
      </c>
      <c r="B195" t="s">
        <v>55</v>
      </c>
      <c r="C195" t="s">
        <v>82</v>
      </c>
      <c r="D195" t="s">
        <v>184</v>
      </c>
      <c r="E195" t="s">
        <v>173</v>
      </c>
      <c r="F195" t="s">
        <v>490</v>
      </c>
      <c r="G195" t="s">
        <v>1544</v>
      </c>
      <c r="H195" t="s">
        <v>2676</v>
      </c>
      <c r="J195" t="s">
        <v>4242</v>
      </c>
      <c r="K195">
        <v>11364</v>
      </c>
      <c r="L195" t="s">
        <v>4275</v>
      </c>
      <c r="M195" t="s">
        <v>4275</v>
      </c>
      <c r="O195" t="s">
        <v>4282</v>
      </c>
      <c r="P195" t="s">
        <v>4475</v>
      </c>
      <c r="Q195" t="s">
        <v>5731</v>
      </c>
      <c r="R195" t="s">
        <v>5751</v>
      </c>
      <c r="S195" t="s">
        <v>5758</v>
      </c>
      <c r="T195" t="s">
        <v>4276</v>
      </c>
      <c r="V195" t="s">
        <v>5767</v>
      </c>
      <c r="W195" t="s">
        <v>5772</v>
      </c>
      <c r="X195" t="s">
        <v>184</v>
      </c>
      <c r="Y195">
        <v>1970.7</v>
      </c>
      <c r="Z195" t="s">
        <v>5803</v>
      </c>
      <c r="AA195" t="s">
        <v>5804</v>
      </c>
      <c r="AB195" t="s">
        <v>5820</v>
      </c>
      <c r="AC195" t="s">
        <v>6019</v>
      </c>
      <c r="AD195" t="s">
        <v>7368</v>
      </c>
      <c r="AE195" t="s">
        <v>8027</v>
      </c>
      <c r="AF195">
        <v>2</v>
      </c>
      <c r="AG195" t="s">
        <v>9269</v>
      </c>
      <c r="AH195" t="s">
        <v>4280</v>
      </c>
      <c r="AI195">
        <v>2</v>
      </c>
      <c r="AJ195">
        <v>1</v>
      </c>
      <c r="AK195">
        <v>2</v>
      </c>
      <c r="AL195">
        <v>0</v>
      </c>
      <c r="AO195" t="s">
        <v>1425</v>
      </c>
      <c r="AP195">
        <v>0</v>
      </c>
      <c r="AR195" t="s">
        <v>9328</v>
      </c>
      <c r="AS195" t="s">
        <v>9337</v>
      </c>
      <c r="AT195" t="s">
        <v>9369</v>
      </c>
      <c r="AU195" t="s">
        <v>9422</v>
      </c>
      <c r="AV195">
        <v>111.1</v>
      </c>
      <c r="AW195" t="s">
        <v>73</v>
      </c>
    </row>
    <row r="196" spans="1:49">
      <c r="A196" s="1">
        <f>HYPERLINK("https://cms.ls-nyc.org/matter/dynamic-profile/view/1885351","18-1885351")</f>
        <v>0</v>
      </c>
      <c r="B196" t="s">
        <v>55</v>
      </c>
      <c r="C196" t="s">
        <v>82</v>
      </c>
      <c r="D196" t="s">
        <v>185</v>
      </c>
      <c r="E196" t="s">
        <v>265</v>
      </c>
      <c r="F196" t="s">
        <v>491</v>
      </c>
      <c r="G196" t="s">
        <v>1545</v>
      </c>
      <c r="H196" t="s">
        <v>2677</v>
      </c>
      <c r="J196" t="s">
        <v>4222</v>
      </c>
      <c r="K196">
        <v>11434</v>
      </c>
      <c r="L196" t="s">
        <v>4275</v>
      </c>
      <c r="M196" t="s">
        <v>4275</v>
      </c>
      <c r="O196" t="s">
        <v>4281</v>
      </c>
      <c r="P196" t="s">
        <v>4476</v>
      </c>
      <c r="Q196" t="s">
        <v>5732</v>
      </c>
      <c r="R196" t="s">
        <v>5751</v>
      </c>
      <c r="S196" t="s">
        <v>5758</v>
      </c>
      <c r="T196" t="s">
        <v>4276</v>
      </c>
      <c r="V196" t="s">
        <v>5767</v>
      </c>
      <c r="X196" t="s">
        <v>185</v>
      </c>
      <c r="Y196">
        <v>0</v>
      </c>
      <c r="Z196" t="s">
        <v>5803</v>
      </c>
      <c r="AA196" t="s">
        <v>5804</v>
      </c>
      <c r="AB196" t="s">
        <v>5820</v>
      </c>
      <c r="AC196" t="s">
        <v>6020</v>
      </c>
      <c r="AD196" t="s">
        <v>7369</v>
      </c>
      <c r="AE196" t="s">
        <v>8028</v>
      </c>
      <c r="AF196">
        <v>1</v>
      </c>
      <c r="AG196" t="s">
        <v>9270</v>
      </c>
      <c r="AH196" t="s">
        <v>4280</v>
      </c>
      <c r="AI196">
        <v>35</v>
      </c>
      <c r="AJ196">
        <v>1</v>
      </c>
      <c r="AK196">
        <v>1</v>
      </c>
      <c r="AL196">
        <v>1.17</v>
      </c>
      <c r="AO196" t="s">
        <v>1425</v>
      </c>
      <c r="AP196">
        <v>192</v>
      </c>
      <c r="AS196" t="s">
        <v>9336</v>
      </c>
      <c r="AT196" t="s">
        <v>9371</v>
      </c>
      <c r="AU196" t="s">
        <v>9423</v>
      </c>
      <c r="AV196">
        <v>6.97</v>
      </c>
      <c r="AW196" t="s">
        <v>54</v>
      </c>
    </row>
    <row r="197" spans="1:49">
      <c r="A197" s="1">
        <f>HYPERLINK("https://cms.ls-nyc.org/matter/dynamic-profile/view/1883649","18-1883649")</f>
        <v>0</v>
      </c>
      <c r="B197" t="s">
        <v>55</v>
      </c>
      <c r="C197" t="s">
        <v>82</v>
      </c>
      <c r="D197" t="s">
        <v>186</v>
      </c>
      <c r="E197" t="s">
        <v>235</v>
      </c>
      <c r="F197" t="s">
        <v>376</v>
      </c>
      <c r="G197" t="s">
        <v>1385</v>
      </c>
      <c r="H197" t="s">
        <v>2678</v>
      </c>
      <c r="I197" t="s">
        <v>3909</v>
      </c>
      <c r="J197" t="s">
        <v>4258</v>
      </c>
      <c r="K197">
        <v>11369</v>
      </c>
      <c r="L197" t="s">
        <v>4275</v>
      </c>
      <c r="M197" t="s">
        <v>4275</v>
      </c>
      <c r="O197" t="s">
        <v>4282</v>
      </c>
      <c r="P197" t="s">
        <v>4477</v>
      </c>
      <c r="Q197" t="s">
        <v>5732</v>
      </c>
      <c r="R197" t="s">
        <v>5751</v>
      </c>
      <c r="S197" t="s">
        <v>5762</v>
      </c>
      <c r="T197" t="s">
        <v>4276</v>
      </c>
      <c r="V197" t="s">
        <v>5767</v>
      </c>
      <c r="W197" t="s">
        <v>5772</v>
      </c>
      <c r="X197" t="s">
        <v>186</v>
      </c>
      <c r="Y197">
        <v>382</v>
      </c>
      <c r="Z197" t="s">
        <v>5803</v>
      </c>
      <c r="AA197" t="s">
        <v>5804</v>
      </c>
      <c r="AB197" t="s">
        <v>5820</v>
      </c>
      <c r="AC197" t="s">
        <v>6021</v>
      </c>
      <c r="AD197" t="s">
        <v>7370</v>
      </c>
      <c r="AE197" t="s">
        <v>8029</v>
      </c>
      <c r="AF197">
        <v>2</v>
      </c>
      <c r="AG197" t="s">
        <v>9269</v>
      </c>
      <c r="AH197" t="s">
        <v>9282</v>
      </c>
      <c r="AI197">
        <v>10</v>
      </c>
      <c r="AJ197">
        <v>2</v>
      </c>
      <c r="AK197">
        <v>0</v>
      </c>
      <c r="AL197">
        <v>31.42</v>
      </c>
      <c r="AM197" t="s">
        <v>186</v>
      </c>
      <c r="AO197" t="s">
        <v>9298</v>
      </c>
      <c r="AP197">
        <v>5172</v>
      </c>
      <c r="AR197" t="s">
        <v>9327</v>
      </c>
      <c r="AS197" t="s">
        <v>9336</v>
      </c>
      <c r="AT197" t="s">
        <v>9369</v>
      </c>
      <c r="AU197" t="s">
        <v>9406</v>
      </c>
      <c r="AV197">
        <v>53.24</v>
      </c>
      <c r="AW197" t="s">
        <v>73</v>
      </c>
    </row>
    <row r="198" spans="1:49">
      <c r="A198" s="1">
        <f>HYPERLINK("https://cms.ls-nyc.org/matter/dynamic-profile/view/1885563","18-1885563")</f>
        <v>0</v>
      </c>
      <c r="B198" t="s">
        <v>55</v>
      </c>
      <c r="C198" t="s">
        <v>82</v>
      </c>
      <c r="D198" t="s">
        <v>187</v>
      </c>
      <c r="E198" t="s">
        <v>114</v>
      </c>
      <c r="F198" t="s">
        <v>492</v>
      </c>
      <c r="G198" t="s">
        <v>1546</v>
      </c>
      <c r="H198" t="s">
        <v>2613</v>
      </c>
      <c r="I198" t="s">
        <v>3936</v>
      </c>
      <c r="J198" t="s">
        <v>4243</v>
      </c>
      <c r="K198">
        <v>11691</v>
      </c>
      <c r="L198" t="s">
        <v>4275</v>
      </c>
      <c r="M198" t="s">
        <v>4275</v>
      </c>
      <c r="O198" t="s">
        <v>4283</v>
      </c>
      <c r="P198" t="s">
        <v>4478</v>
      </c>
      <c r="Q198" t="s">
        <v>5731</v>
      </c>
      <c r="R198" t="s">
        <v>5751</v>
      </c>
      <c r="S198" t="s">
        <v>5762</v>
      </c>
      <c r="T198" t="s">
        <v>4276</v>
      </c>
      <c r="V198" t="s">
        <v>5767</v>
      </c>
      <c r="W198" t="s">
        <v>5773</v>
      </c>
      <c r="X198" t="s">
        <v>175</v>
      </c>
      <c r="Y198">
        <v>1497</v>
      </c>
      <c r="Z198" t="s">
        <v>5803</v>
      </c>
      <c r="AA198" t="s">
        <v>5804</v>
      </c>
      <c r="AB198" t="s">
        <v>5823</v>
      </c>
      <c r="AC198" t="s">
        <v>6022</v>
      </c>
      <c r="AD198" t="s">
        <v>7371</v>
      </c>
      <c r="AE198" t="s">
        <v>8030</v>
      </c>
      <c r="AF198">
        <v>231</v>
      </c>
      <c r="AG198" t="s">
        <v>9273</v>
      </c>
      <c r="AH198" t="s">
        <v>9282</v>
      </c>
      <c r="AI198">
        <v>2</v>
      </c>
      <c r="AJ198">
        <v>2</v>
      </c>
      <c r="AK198">
        <v>2</v>
      </c>
      <c r="AL198">
        <v>40.7</v>
      </c>
      <c r="AO198" t="s">
        <v>1425</v>
      </c>
      <c r="AP198">
        <v>10216</v>
      </c>
      <c r="AR198" t="s">
        <v>9329</v>
      </c>
      <c r="AS198" t="s">
        <v>9336</v>
      </c>
      <c r="AT198" t="s">
        <v>9369</v>
      </c>
      <c r="AU198" t="s">
        <v>9424</v>
      </c>
      <c r="AV198">
        <v>7.28</v>
      </c>
      <c r="AW198" t="s">
        <v>54</v>
      </c>
    </row>
    <row r="199" spans="1:49">
      <c r="A199" s="1">
        <f>HYPERLINK("https://cms.ls-nyc.org/matter/dynamic-profile/view/1893887","19-1893887")</f>
        <v>0</v>
      </c>
      <c r="B199" t="s">
        <v>55</v>
      </c>
      <c r="C199" t="s">
        <v>82</v>
      </c>
      <c r="D199" t="s">
        <v>96</v>
      </c>
      <c r="E199" t="s">
        <v>124</v>
      </c>
      <c r="F199" t="s">
        <v>493</v>
      </c>
      <c r="G199" t="s">
        <v>1547</v>
      </c>
      <c r="H199" t="s">
        <v>2679</v>
      </c>
      <c r="I199" t="s">
        <v>3937</v>
      </c>
      <c r="J199" t="s">
        <v>4229</v>
      </c>
      <c r="K199">
        <v>11354</v>
      </c>
      <c r="L199" t="s">
        <v>4275</v>
      </c>
      <c r="M199" t="s">
        <v>4275</v>
      </c>
      <c r="N199" t="s">
        <v>4278</v>
      </c>
      <c r="O199" t="s">
        <v>4283</v>
      </c>
      <c r="P199" t="s">
        <v>4479</v>
      </c>
      <c r="Q199" t="s">
        <v>5732</v>
      </c>
      <c r="R199" t="s">
        <v>5753</v>
      </c>
      <c r="S199" t="s">
        <v>5759</v>
      </c>
      <c r="T199" t="s">
        <v>4276</v>
      </c>
      <c r="V199" t="s">
        <v>5767</v>
      </c>
      <c r="W199" t="s">
        <v>5774</v>
      </c>
      <c r="X199" t="s">
        <v>96</v>
      </c>
      <c r="Y199">
        <v>1850</v>
      </c>
      <c r="Z199" t="s">
        <v>5803</v>
      </c>
      <c r="AA199" t="s">
        <v>5804</v>
      </c>
      <c r="AB199" t="s">
        <v>5821</v>
      </c>
      <c r="AC199" t="s">
        <v>6023</v>
      </c>
      <c r="AD199" t="s">
        <v>7372</v>
      </c>
      <c r="AE199" t="s">
        <v>8031</v>
      </c>
      <c r="AF199">
        <v>40</v>
      </c>
      <c r="AG199" t="s">
        <v>9277</v>
      </c>
      <c r="AH199" t="s">
        <v>4280</v>
      </c>
      <c r="AI199">
        <v>5</v>
      </c>
      <c r="AJ199">
        <v>1</v>
      </c>
      <c r="AK199">
        <v>1</v>
      </c>
      <c r="AL199">
        <v>41.51</v>
      </c>
      <c r="AO199" t="s">
        <v>9298</v>
      </c>
      <c r="AP199">
        <v>7020</v>
      </c>
      <c r="AV199">
        <v>5.99</v>
      </c>
      <c r="AW199" t="s">
        <v>54</v>
      </c>
    </row>
    <row r="200" spans="1:49">
      <c r="A200" s="1">
        <f>HYPERLINK("https://cms.ls-nyc.org/matter/dynamic-profile/view/1888060","19-1888060")</f>
        <v>0</v>
      </c>
      <c r="B200" t="s">
        <v>55</v>
      </c>
      <c r="C200" t="s">
        <v>82</v>
      </c>
      <c r="D200" t="s">
        <v>152</v>
      </c>
      <c r="E200" t="s">
        <v>135</v>
      </c>
      <c r="F200" t="s">
        <v>494</v>
      </c>
      <c r="G200" t="s">
        <v>1548</v>
      </c>
      <c r="H200" t="s">
        <v>2680</v>
      </c>
      <c r="I200">
        <v>1</v>
      </c>
      <c r="J200" t="s">
        <v>4222</v>
      </c>
      <c r="K200">
        <v>11433</v>
      </c>
      <c r="L200" t="s">
        <v>4275</v>
      </c>
      <c r="M200" t="s">
        <v>4275</v>
      </c>
      <c r="N200" t="s">
        <v>4278</v>
      </c>
      <c r="O200" t="s">
        <v>4281</v>
      </c>
      <c r="P200" t="s">
        <v>4480</v>
      </c>
      <c r="Q200" t="s">
        <v>5734</v>
      </c>
      <c r="R200" t="s">
        <v>5753</v>
      </c>
      <c r="S200" t="s">
        <v>5759</v>
      </c>
      <c r="T200" t="s">
        <v>4276</v>
      </c>
      <c r="V200" t="s">
        <v>5767</v>
      </c>
      <c r="X200" t="s">
        <v>135</v>
      </c>
      <c r="Y200">
        <v>1600</v>
      </c>
      <c r="Z200" t="s">
        <v>5803</v>
      </c>
      <c r="AA200" t="s">
        <v>5804</v>
      </c>
      <c r="AB200" t="s">
        <v>5821</v>
      </c>
      <c r="AC200" t="s">
        <v>6024</v>
      </c>
      <c r="AE200" t="s">
        <v>8032</v>
      </c>
      <c r="AF200">
        <v>2</v>
      </c>
      <c r="AG200" t="s">
        <v>9270</v>
      </c>
      <c r="AH200" t="s">
        <v>4280</v>
      </c>
      <c r="AI200">
        <v>10</v>
      </c>
      <c r="AJ200">
        <v>3</v>
      </c>
      <c r="AK200">
        <v>3</v>
      </c>
      <c r="AL200">
        <v>44.46</v>
      </c>
      <c r="AO200" t="s">
        <v>1425</v>
      </c>
      <c r="AP200">
        <v>15000</v>
      </c>
      <c r="AV200">
        <v>3.77</v>
      </c>
      <c r="AW200" t="s">
        <v>54</v>
      </c>
    </row>
    <row r="201" spans="1:49">
      <c r="A201" s="1">
        <f>HYPERLINK("https://cms.ls-nyc.org/matter/dynamic-profile/view/1898653","19-1898653")</f>
        <v>0</v>
      </c>
      <c r="B201" t="s">
        <v>55</v>
      </c>
      <c r="C201" t="s">
        <v>82</v>
      </c>
      <c r="D201" t="s">
        <v>93</v>
      </c>
      <c r="E201" t="s">
        <v>216</v>
      </c>
      <c r="F201" t="s">
        <v>347</v>
      </c>
      <c r="G201" t="s">
        <v>1549</v>
      </c>
      <c r="H201" t="s">
        <v>2681</v>
      </c>
      <c r="I201" t="s">
        <v>3870</v>
      </c>
      <c r="J201" t="s">
        <v>4223</v>
      </c>
      <c r="K201">
        <v>11423</v>
      </c>
      <c r="L201" t="s">
        <v>4275</v>
      </c>
      <c r="M201" t="s">
        <v>4275</v>
      </c>
      <c r="O201" t="s">
        <v>4282</v>
      </c>
      <c r="P201" t="s">
        <v>4481</v>
      </c>
      <c r="Q201" t="s">
        <v>5732</v>
      </c>
      <c r="R201" t="s">
        <v>5753</v>
      </c>
      <c r="S201" t="s">
        <v>5759</v>
      </c>
      <c r="T201" t="s">
        <v>4276</v>
      </c>
      <c r="V201" t="s">
        <v>5767</v>
      </c>
      <c r="X201" t="s">
        <v>93</v>
      </c>
      <c r="Y201">
        <v>700</v>
      </c>
      <c r="Z201" t="s">
        <v>5803</v>
      </c>
      <c r="AA201" t="s">
        <v>5804</v>
      </c>
      <c r="AB201" t="s">
        <v>5821</v>
      </c>
      <c r="AC201" t="s">
        <v>6025</v>
      </c>
      <c r="AD201" t="s">
        <v>7373</v>
      </c>
      <c r="AE201" t="s">
        <v>8033</v>
      </c>
      <c r="AF201">
        <v>2</v>
      </c>
      <c r="AG201" t="s">
        <v>9270</v>
      </c>
      <c r="AH201" t="s">
        <v>4280</v>
      </c>
      <c r="AI201">
        <v>11</v>
      </c>
      <c r="AJ201">
        <v>1</v>
      </c>
      <c r="AK201">
        <v>0</v>
      </c>
      <c r="AL201">
        <v>50.82</v>
      </c>
      <c r="AO201" t="s">
        <v>1425</v>
      </c>
      <c r="AP201">
        <v>6348</v>
      </c>
      <c r="AV201">
        <v>1.78</v>
      </c>
      <c r="AW201" t="s">
        <v>54</v>
      </c>
    </row>
    <row r="202" spans="1:49">
      <c r="A202" s="1">
        <f>HYPERLINK("https://cms.ls-nyc.org/matter/dynamic-profile/view/1878089","18-1878089")</f>
        <v>0</v>
      </c>
      <c r="B202" t="s">
        <v>55</v>
      </c>
      <c r="C202" t="s">
        <v>82</v>
      </c>
      <c r="D202" t="s">
        <v>188</v>
      </c>
      <c r="E202" t="s">
        <v>273</v>
      </c>
      <c r="F202" t="s">
        <v>495</v>
      </c>
      <c r="G202" t="s">
        <v>1550</v>
      </c>
      <c r="H202" t="s">
        <v>2569</v>
      </c>
      <c r="I202">
        <v>308</v>
      </c>
      <c r="J202" t="s">
        <v>4222</v>
      </c>
      <c r="K202">
        <v>11433</v>
      </c>
      <c r="L202" t="s">
        <v>4275</v>
      </c>
      <c r="M202" t="s">
        <v>4275</v>
      </c>
      <c r="O202" t="s">
        <v>4281</v>
      </c>
      <c r="P202" t="s">
        <v>4482</v>
      </c>
      <c r="Q202" t="s">
        <v>5731</v>
      </c>
      <c r="R202" t="s">
        <v>5751</v>
      </c>
      <c r="S202" t="s">
        <v>5762</v>
      </c>
      <c r="T202" t="s">
        <v>4276</v>
      </c>
      <c r="V202" t="s">
        <v>5767</v>
      </c>
      <c r="W202" t="s">
        <v>5772</v>
      </c>
      <c r="X202" t="s">
        <v>188</v>
      </c>
      <c r="Y202">
        <v>1442</v>
      </c>
      <c r="Z202" t="s">
        <v>5803</v>
      </c>
      <c r="AA202" t="s">
        <v>5804</v>
      </c>
      <c r="AB202" t="s">
        <v>5823</v>
      </c>
      <c r="AC202" t="s">
        <v>6026</v>
      </c>
      <c r="AD202" t="s">
        <v>7374</v>
      </c>
      <c r="AE202" t="s">
        <v>8034</v>
      </c>
      <c r="AF202">
        <v>54</v>
      </c>
      <c r="AG202" t="s">
        <v>9272</v>
      </c>
      <c r="AH202" t="s">
        <v>9282</v>
      </c>
      <c r="AI202">
        <v>1</v>
      </c>
      <c r="AJ202">
        <v>1</v>
      </c>
      <c r="AK202">
        <v>0</v>
      </c>
      <c r="AL202">
        <v>69.88</v>
      </c>
      <c r="AO202" t="s">
        <v>1425</v>
      </c>
      <c r="AP202">
        <v>8484</v>
      </c>
      <c r="AR202" t="s">
        <v>9329</v>
      </c>
      <c r="AS202" t="s">
        <v>9336</v>
      </c>
      <c r="AT202" t="s">
        <v>9369</v>
      </c>
      <c r="AU202" t="s">
        <v>9425</v>
      </c>
      <c r="AV202">
        <v>43.02</v>
      </c>
      <c r="AW202" t="s">
        <v>74</v>
      </c>
    </row>
    <row r="203" spans="1:49">
      <c r="A203" s="1">
        <f>HYPERLINK("https://cms.ls-nyc.org/matter/dynamic-profile/view/1898547","19-1898547")</f>
        <v>0</v>
      </c>
      <c r="B203" t="s">
        <v>55</v>
      </c>
      <c r="C203" t="s">
        <v>82</v>
      </c>
      <c r="D203" t="s">
        <v>141</v>
      </c>
      <c r="E203" t="s">
        <v>216</v>
      </c>
      <c r="F203" t="s">
        <v>331</v>
      </c>
      <c r="G203" t="s">
        <v>1551</v>
      </c>
      <c r="H203" t="s">
        <v>2682</v>
      </c>
      <c r="I203" t="s">
        <v>3938</v>
      </c>
      <c r="J203" t="s">
        <v>4234</v>
      </c>
      <c r="K203">
        <v>11105</v>
      </c>
      <c r="L203" t="s">
        <v>4275</v>
      </c>
      <c r="M203" t="s">
        <v>4275</v>
      </c>
      <c r="O203" t="s">
        <v>4282</v>
      </c>
      <c r="P203" t="s">
        <v>4483</v>
      </c>
      <c r="Q203" t="s">
        <v>5732</v>
      </c>
      <c r="R203" t="s">
        <v>5753</v>
      </c>
      <c r="S203" t="s">
        <v>5759</v>
      </c>
      <c r="T203" t="s">
        <v>4276</v>
      </c>
      <c r="V203" t="s">
        <v>5767</v>
      </c>
      <c r="Y203">
        <v>1195.97</v>
      </c>
      <c r="Z203" t="s">
        <v>5803</v>
      </c>
      <c r="AA203" t="s">
        <v>5804</v>
      </c>
      <c r="AB203" t="s">
        <v>5821</v>
      </c>
      <c r="AC203" t="s">
        <v>6027</v>
      </c>
      <c r="AE203" t="s">
        <v>8035</v>
      </c>
      <c r="AF203">
        <v>16</v>
      </c>
      <c r="AG203" t="s">
        <v>9270</v>
      </c>
      <c r="AH203" t="s">
        <v>4280</v>
      </c>
      <c r="AI203">
        <v>3</v>
      </c>
      <c r="AJ203">
        <v>2</v>
      </c>
      <c r="AK203">
        <v>1</v>
      </c>
      <c r="AL203">
        <v>75.01000000000001</v>
      </c>
      <c r="AO203" t="s">
        <v>9298</v>
      </c>
      <c r="AP203">
        <v>16000</v>
      </c>
      <c r="AV203">
        <v>1.48</v>
      </c>
      <c r="AW203" t="s">
        <v>54</v>
      </c>
    </row>
    <row r="204" spans="1:49">
      <c r="A204" s="1">
        <f>HYPERLINK("https://cms.ls-nyc.org/matter/dynamic-profile/view/1885592","18-1885592")</f>
        <v>0</v>
      </c>
      <c r="B204" t="s">
        <v>55</v>
      </c>
      <c r="C204" t="s">
        <v>82</v>
      </c>
      <c r="D204" t="s">
        <v>187</v>
      </c>
      <c r="E204" t="s">
        <v>235</v>
      </c>
      <c r="F204" t="s">
        <v>496</v>
      </c>
      <c r="G204" t="s">
        <v>1552</v>
      </c>
      <c r="H204" t="s">
        <v>2683</v>
      </c>
      <c r="J204" t="s">
        <v>4234</v>
      </c>
      <c r="K204">
        <v>11103</v>
      </c>
      <c r="L204" t="s">
        <v>4275</v>
      </c>
      <c r="M204" t="s">
        <v>4275</v>
      </c>
      <c r="O204" t="s">
        <v>4282</v>
      </c>
      <c r="P204" t="s">
        <v>4484</v>
      </c>
      <c r="Q204" t="s">
        <v>5732</v>
      </c>
      <c r="R204" t="s">
        <v>5753</v>
      </c>
      <c r="S204" t="s">
        <v>5759</v>
      </c>
      <c r="T204" t="s">
        <v>4276</v>
      </c>
      <c r="V204" t="s">
        <v>5767</v>
      </c>
      <c r="Y204">
        <v>150</v>
      </c>
      <c r="Z204" t="s">
        <v>5803</v>
      </c>
      <c r="AA204" t="s">
        <v>5807</v>
      </c>
      <c r="AB204" t="s">
        <v>5820</v>
      </c>
      <c r="AC204" t="s">
        <v>6028</v>
      </c>
      <c r="AE204" t="s">
        <v>8036</v>
      </c>
      <c r="AF204">
        <v>0</v>
      </c>
      <c r="AG204" t="s">
        <v>9270</v>
      </c>
      <c r="AH204" t="s">
        <v>4280</v>
      </c>
      <c r="AI204">
        <v>-1</v>
      </c>
      <c r="AJ204">
        <v>1</v>
      </c>
      <c r="AK204">
        <v>3</v>
      </c>
      <c r="AL204">
        <v>82.87</v>
      </c>
      <c r="AO204" t="s">
        <v>9298</v>
      </c>
      <c r="AP204">
        <v>20800</v>
      </c>
      <c r="AV204">
        <v>2.42</v>
      </c>
      <c r="AW204" t="s">
        <v>54</v>
      </c>
    </row>
    <row r="205" spans="1:49">
      <c r="A205" s="1">
        <f>HYPERLINK("https://cms.ls-nyc.org/matter/dynamic-profile/view/1888081","19-1888081")</f>
        <v>0</v>
      </c>
      <c r="B205" t="s">
        <v>55</v>
      </c>
      <c r="C205" t="s">
        <v>82</v>
      </c>
      <c r="D205" t="s">
        <v>152</v>
      </c>
      <c r="E205" t="s">
        <v>245</v>
      </c>
      <c r="F205" t="s">
        <v>340</v>
      </c>
      <c r="G205" t="s">
        <v>1553</v>
      </c>
      <c r="H205" t="s">
        <v>2684</v>
      </c>
      <c r="I205" t="s">
        <v>3866</v>
      </c>
      <c r="J205" t="s">
        <v>4246</v>
      </c>
      <c r="K205">
        <v>11694</v>
      </c>
      <c r="L205" t="s">
        <v>4275</v>
      </c>
      <c r="M205" t="s">
        <v>4275</v>
      </c>
      <c r="N205" t="s">
        <v>4278</v>
      </c>
      <c r="O205" t="s">
        <v>4282</v>
      </c>
      <c r="P205" t="s">
        <v>4485</v>
      </c>
      <c r="Q205" t="s">
        <v>5732</v>
      </c>
      <c r="R205" t="s">
        <v>5753</v>
      </c>
      <c r="S205" t="s">
        <v>5759</v>
      </c>
      <c r="T205" t="s">
        <v>4276</v>
      </c>
      <c r="V205" t="s">
        <v>5767</v>
      </c>
      <c r="X205" t="s">
        <v>245</v>
      </c>
      <c r="Y205">
        <v>1400</v>
      </c>
      <c r="Z205" t="s">
        <v>5803</v>
      </c>
      <c r="AA205" t="s">
        <v>5804</v>
      </c>
      <c r="AB205" t="s">
        <v>5821</v>
      </c>
      <c r="AC205" t="s">
        <v>6029</v>
      </c>
      <c r="AE205" t="s">
        <v>8037</v>
      </c>
      <c r="AF205">
        <v>0</v>
      </c>
      <c r="AG205" t="s">
        <v>9270</v>
      </c>
      <c r="AH205" t="s">
        <v>4280</v>
      </c>
      <c r="AI205">
        <v>2</v>
      </c>
      <c r="AJ205">
        <v>2</v>
      </c>
      <c r="AK205">
        <v>2</v>
      </c>
      <c r="AL205">
        <v>83.67</v>
      </c>
      <c r="AO205" t="s">
        <v>1425</v>
      </c>
      <c r="AP205">
        <v>21000</v>
      </c>
      <c r="AV205">
        <v>1.18</v>
      </c>
      <c r="AW205" t="s">
        <v>54</v>
      </c>
    </row>
    <row r="206" spans="1:49">
      <c r="A206" s="1">
        <f>HYPERLINK("https://cms.ls-nyc.org/matter/dynamic-profile/view/1886589","18-1886589")</f>
        <v>0</v>
      </c>
      <c r="B206" t="s">
        <v>55</v>
      </c>
      <c r="C206" t="s">
        <v>82</v>
      </c>
      <c r="D206" t="s">
        <v>189</v>
      </c>
      <c r="E206" t="s">
        <v>292</v>
      </c>
      <c r="F206" t="s">
        <v>449</v>
      </c>
      <c r="G206" t="s">
        <v>1385</v>
      </c>
      <c r="H206" t="s">
        <v>2685</v>
      </c>
      <c r="J206" t="s">
        <v>4259</v>
      </c>
      <c r="K206">
        <v>11693</v>
      </c>
      <c r="L206" t="s">
        <v>4275</v>
      </c>
      <c r="M206" t="s">
        <v>4275</v>
      </c>
      <c r="N206" t="s">
        <v>4278</v>
      </c>
      <c r="O206" t="s">
        <v>4282</v>
      </c>
      <c r="P206" t="s">
        <v>4486</v>
      </c>
      <c r="Q206" t="s">
        <v>5732</v>
      </c>
      <c r="R206" t="s">
        <v>5753</v>
      </c>
      <c r="S206" t="s">
        <v>5759</v>
      </c>
      <c r="T206" t="s">
        <v>4276</v>
      </c>
      <c r="V206" t="s">
        <v>5767</v>
      </c>
      <c r="X206" t="s">
        <v>189</v>
      </c>
      <c r="Y206">
        <v>1750</v>
      </c>
      <c r="Z206" t="s">
        <v>5803</v>
      </c>
      <c r="AA206" t="s">
        <v>5804</v>
      </c>
      <c r="AB206" t="s">
        <v>5821</v>
      </c>
      <c r="AC206" t="s">
        <v>6030</v>
      </c>
      <c r="AD206" t="s">
        <v>7375</v>
      </c>
      <c r="AE206" t="s">
        <v>8038</v>
      </c>
      <c r="AF206">
        <v>3</v>
      </c>
      <c r="AG206" t="s">
        <v>9269</v>
      </c>
      <c r="AH206" t="s">
        <v>9283</v>
      </c>
      <c r="AI206">
        <v>1</v>
      </c>
      <c r="AJ206">
        <v>0</v>
      </c>
      <c r="AK206">
        <v>3</v>
      </c>
      <c r="AL206">
        <v>88.7</v>
      </c>
      <c r="AO206" t="s">
        <v>1425</v>
      </c>
      <c r="AP206">
        <v>18432</v>
      </c>
      <c r="AV206">
        <v>4.15</v>
      </c>
      <c r="AW206" t="s">
        <v>55</v>
      </c>
    </row>
    <row r="207" spans="1:49">
      <c r="A207" s="1">
        <f>HYPERLINK("https://cms.ls-nyc.org/matter/dynamic-profile/view/1885006","18-1885006")</f>
        <v>0</v>
      </c>
      <c r="B207" t="s">
        <v>55</v>
      </c>
      <c r="C207" t="s">
        <v>82</v>
      </c>
      <c r="D207" t="s">
        <v>190</v>
      </c>
      <c r="E207" t="s">
        <v>235</v>
      </c>
      <c r="F207" t="s">
        <v>387</v>
      </c>
      <c r="G207" t="s">
        <v>1554</v>
      </c>
      <c r="H207" t="s">
        <v>2686</v>
      </c>
      <c r="I207" t="s">
        <v>3840</v>
      </c>
      <c r="J207" t="s">
        <v>4236</v>
      </c>
      <c r="K207">
        <v>11417</v>
      </c>
      <c r="L207" t="s">
        <v>4275</v>
      </c>
      <c r="M207" t="s">
        <v>4275</v>
      </c>
      <c r="N207" t="s">
        <v>4278</v>
      </c>
      <c r="O207" t="s">
        <v>4282</v>
      </c>
      <c r="P207" t="s">
        <v>4487</v>
      </c>
      <c r="Q207" t="s">
        <v>5731</v>
      </c>
      <c r="R207" t="s">
        <v>5753</v>
      </c>
      <c r="S207" t="s">
        <v>5759</v>
      </c>
      <c r="T207" t="s">
        <v>4276</v>
      </c>
      <c r="V207" t="s">
        <v>5767</v>
      </c>
      <c r="W207" t="s">
        <v>5772</v>
      </c>
      <c r="X207" t="s">
        <v>190</v>
      </c>
      <c r="Y207">
        <v>1050</v>
      </c>
      <c r="Z207" t="s">
        <v>5803</v>
      </c>
      <c r="AA207" t="s">
        <v>5804</v>
      </c>
      <c r="AB207" t="s">
        <v>5820</v>
      </c>
      <c r="AC207" t="s">
        <v>6031</v>
      </c>
      <c r="AE207" t="s">
        <v>8039</v>
      </c>
      <c r="AF207">
        <v>7</v>
      </c>
      <c r="AG207" t="s">
        <v>9269</v>
      </c>
      <c r="AH207" t="s">
        <v>4280</v>
      </c>
      <c r="AI207">
        <v>4</v>
      </c>
      <c r="AJ207">
        <v>1</v>
      </c>
      <c r="AK207">
        <v>0</v>
      </c>
      <c r="AL207">
        <v>90.61</v>
      </c>
      <c r="AO207" t="s">
        <v>1425</v>
      </c>
      <c r="AP207">
        <v>11000</v>
      </c>
      <c r="AV207">
        <v>2.25</v>
      </c>
      <c r="AW207" t="s">
        <v>73</v>
      </c>
    </row>
    <row r="208" spans="1:49">
      <c r="A208" s="1">
        <f>HYPERLINK("https://cms.ls-nyc.org/matter/dynamic-profile/view/1883107","18-1883107")</f>
        <v>0</v>
      </c>
      <c r="B208" t="s">
        <v>55</v>
      </c>
      <c r="C208" t="s">
        <v>82</v>
      </c>
      <c r="D208" t="s">
        <v>139</v>
      </c>
      <c r="E208" t="s">
        <v>265</v>
      </c>
      <c r="F208" t="s">
        <v>497</v>
      </c>
      <c r="G208" t="s">
        <v>1021</v>
      </c>
      <c r="H208" t="s">
        <v>2687</v>
      </c>
      <c r="I208" t="s">
        <v>3866</v>
      </c>
      <c r="J208" t="s">
        <v>4222</v>
      </c>
      <c r="K208">
        <v>11434</v>
      </c>
      <c r="L208" t="s">
        <v>4275</v>
      </c>
      <c r="M208" t="s">
        <v>4275</v>
      </c>
      <c r="O208" t="s">
        <v>4281</v>
      </c>
      <c r="P208" t="s">
        <v>4488</v>
      </c>
      <c r="Q208" t="s">
        <v>5732</v>
      </c>
      <c r="R208" t="s">
        <v>5753</v>
      </c>
      <c r="S208" t="s">
        <v>5759</v>
      </c>
      <c r="T208" t="s">
        <v>4276</v>
      </c>
      <c r="V208" t="s">
        <v>5767</v>
      </c>
      <c r="W208" t="s">
        <v>5772</v>
      </c>
      <c r="X208" t="s">
        <v>265</v>
      </c>
      <c r="Y208">
        <v>1000</v>
      </c>
      <c r="Z208" t="s">
        <v>5803</v>
      </c>
      <c r="AA208" t="s">
        <v>5805</v>
      </c>
      <c r="AB208" t="s">
        <v>5821</v>
      </c>
      <c r="AC208" t="s">
        <v>6032</v>
      </c>
      <c r="AD208" t="s">
        <v>4700</v>
      </c>
      <c r="AE208" t="s">
        <v>8040</v>
      </c>
      <c r="AF208">
        <v>2</v>
      </c>
      <c r="AG208" t="s">
        <v>9270</v>
      </c>
      <c r="AH208" t="s">
        <v>4280</v>
      </c>
      <c r="AI208">
        <v>12</v>
      </c>
      <c r="AJ208">
        <v>2</v>
      </c>
      <c r="AK208">
        <v>0</v>
      </c>
      <c r="AL208">
        <v>94.78</v>
      </c>
      <c r="AO208" t="s">
        <v>1425</v>
      </c>
      <c r="AP208">
        <v>15600</v>
      </c>
      <c r="AV208">
        <v>24.52</v>
      </c>
      <c r="AW208" t="s">
        <v>54</v>
      </c>
    </row>
    <row r="209" spans="1:49">
      <c r="A209" s="1">
        <f>HYPERLINK("https://cms.ls-nyc.org/matter/dynamic-profile/view/1885994","18-1885994")</f>
        <v>0</v>
      </c>
      <c r="B209" t="s">
        <v>55</v>
      </c>
      <c r="C209" t="s">
        <v>82</v>
      </c>
      <c r="D209" t="s">
        <v>191</v>
      </c>
      <c r="E209" t="s">
        <v>216</v>
      </c>
      <c r="F209" t="s">
        <v>321</v>
      </c>
      <c r="G209" t="s">
        <v>1555</v>
      </c>
      <c r="H209" t="s">
        <v>2688</v>
      </c>
      <c r="I209" t="s">
        <v>3939</v>
      </c>
      <c r="J209" t="s">
        <v>4243</v>
      </c>
      <c r="K209">
        <v>11691</v>
      </c>
      <c r="L209" t="s">
        <v>4276</v>
      </c>
      <c r="M209" t="s">
        <v>4276</v>
      </c>
      <c r="O209" t="s">
        <v>4283</v>
      </c>
      <c r="P209" t="s">
        <v>4489</v>
      </c>
      <c r="Q209" t="s">
        <v>5731</v>
      </c>
      <c r="R209" t="s">
        <v>5753</v>
      </c>
      <c r="S209" t="s">
        <v>5759</v>
      </c>
      <c r="T209" t="s">
        <v>4276</v>
      </c>
      <c r="V209" t="s">
        <v>5767</v>
      </c>
      <c r="W209" t="s">
        <v>5771</v>
      </c>
      <c r="Y209">
        <v>1400</v>
      </c>
      <c r="Z209" t="s">
        <v>5803</v>
      </c>
      <c r="AA209" t="s">
        <v>5804</v>
      </c>
      <c r="AB209" t="s">
        <v>5821</v>
      </c>
      <c r="AC209" t="s">
        <v>6033</v>
      </c>
      <c r="AE209" t="s">
        <v>8041</v>
      </c>
      <c r="AF209">
        <v>301</v>
      </c>
      <c r="AG209" t="s">
        <v>9273</v>
      </c>
      <c r="AH209" t="s">
        <v>4280</v>
      </c>
      <c r="AI209">
        <v>6</v>
      </c>
      <c r="AJ209">
        <v>3</v>
      </c>
      <c r="AK209">
        <v>0</v>
      </c>
      <c r="AL209">
        <v>100.1</v>
      </c>
      <c r="AO209" t="s">
        <v>1425</v>
      </c>
      <c r="AP209">
        <v>20800</v>
      </c>
      <c r="AV209">
        <v>2.37</v>
      </c>
      <c r="AW209" t="s">
        <v>54</v>
      </c>
    </row>
    <row r="210" spans="1:49">
      <c r="A210" s="1">
        <f>HYPERLINK("https://cms.ls-nyc.org/matter/dynamic-profile/view/1888087","19-1888087")</f>
        <v>0</v>
      </c>
      <c r="B210" t="s">
        <v>55</v>
      </c>
      <c r="C210" t="s">
        <v>82</v>
      </c>
      <c r="D210" t="s">
        <v>152</v>
      </c>
      <c r="E210" t="s">
        <v>135</v>
      </c>
      <c r="F210" t="s">
        <v>498</v>
      </c>
      <c r="G210" t="s">
        <v>1556</v>
      </c>
      <c r="H210" t="s">
        <v>2689</v>
      </c>
      <c r="I210" t="s">
        <v>3909</v>
      </c>
      <c r="J210" t="s">
        <v>4260</v>
      </c>
      <c r="K210">
        <v>11413</v>
      </c>
      <c r="L210" t="s">
        <v>4275</v>
      </c>
      <c r="M210" t="s">
        <v>4275</v>
      </c>
      <c r="N210" t="s">
        <v>4278</v>
      </c>
      <c r="O210" t="s">
        <v>4282</v>
      </c>
      <c r="P210" t="s">
        <v>4490</v>
      </c>
      <c r="Q210" t="s">
        <v>5732</v>
      </c>
      <c r="R210" t="s">
        <v>5753</v>
      </c>
      <c r="S210" t="s">
        <v>5759</v>
      </c>
      <c r="T210" t="s">
        <v>4276</v>
      </c>
      <c r="V210" t="s">
        <v>5767</v>
      </c>
      <c r="W210" t="s">
        <v>5771</v>
      </c>
      <c r="X210" t="s">
        <v>152</v>
      </c>
      <c r="Y210">
        <v>1700</v>
      </c>
      <c r="Z210" t="s">
        <v>5803</v>
      </c>
      <c r="AA210" t="s">
        <v>5804</v>
      </c>
      <c r="AB210" t="s">
        <v>5821</v>
      </c>
      <c r="AC210" t="s">
        <v>6034</v>
      </c>
      <c r="AE210" t="s">
        <v>8042</v>
      </c>
      <c r="AF210">
        <v>3</v>
      </c>
      <c r="AG210" t="s">
        <v>9269</v>
      </c>
      <c r="AH210" t="s">
        <v>4280</v>
      </c>
      <c r="AI210">
        <v>3</v>
      </c>
      <c r="AJ210">
        <v>2</v>
      </c>
      <c r="AK210">
        <v>1</v>
      </c>
      <c r="AL210">
        <v>110.68</v>
      </c>
      <c r="AM210" t="s">
        <v>152</v>
      </c>
      <c r="AP210">
        <v>23000</v>
      </c>
      <c r="AV210">
        <v>2.13</v>
      </c>
      <c r="AW210" t="s">
        <v>73</v>
      </c>
    </row>
    <row r="211" spans="1:49">
      <c r="A211" s="1">
        <f>HYPERLINK("https://cms.ls-nyc.org/matter/dynamic-profile/view/1898693","19-1898693")</f>
        <v>0</v>
      </c>
      <c r="B211" t="s">
        <v>55</v>
      </c>
      <c r="C211" t="s">
        <v>82</v>
      </c>
      <c r="D211" t="s">
        <v>93</v>
      </c>
      <c r="E211" t="s">
        <v>216</v>
      </c>
      <c r="F211" t="s">
        <v>337</v>
      </c>
      <c r="G211" t="s">
        <v>1557</v>
      </c>
      <c r="H211" t="s">
        <v>2690</v>
      </c>
      <c r="I211">
        <v>203</v>
      </c>
      <c r="J211" t="s">
        <v>4241</v>
      </c>
      <c r="K211">
        <v>11368</v>
      </c>
      <c r="L211" t="s">
        <v>4275</v>
      </c>
      <c r="M211" t="s">
        <v>4275</v>
      </c>
      <c r="N211" t="s">
        <v>4278</v>
      </c>
      <c r="O211" t="s">
        <v>4282</v>
      </c>
      <c r="P211" t="s">
        <v>4491</v>
      </c>
      <c r="Q211" t="s">
        <v>5731</v>
      </c>
      <c r="R211" t="s">
        <v>5753</v>
      </c>
      <c r="S211" t="s">
        <v>5759</v>
      </c>
      <c r="T211" t="s">
        <v>4276</v>
      </c>
      <c r="V211" t="s">
        <v>5767</v>
      </c>
      <c r="X211" t="s">
        <v>93</v>
      </c>
      <c r="Y211">
        <v>1402.18</v>
      </c>
      <c r="Z211" t="s">
        <v>5803</v>
      </c>
      <c r="AA211" t="s">
        <v>5804</v>
      </c>
      <c r="AB211" t="s">
        <v>5821</v>
      </c>
      <c r="AC211" t="s">
        <v>6035</v>
      </c>
      <c r="AE211" t="s">
        <v>8043</v>
      </c>
      <c r="AF211">
        <v>96</v>
      </c>
      <c r="AG211" t="s">
        <v>9270</v>
      </c>
      <c r="AH211" t="s">
        <v>4280</v>
      </c>
      <c r="AI211">
        <v>8</v>
      </c>
      <c r="AJ211">
        <v>3</v>
      </c>
      <c r="AK211">
        <v>1</v>
      </c>
      <c r="AL211">
        <v>123.66</v>
      </c>
      <c r="AO211" t="s">
        <v>1425</v>
      </c>
      <c r="AP211">
        <v>31842</v>
      </c>
      <c r="AV211">
        <v>0.72</v>
      </c>
      <c r="AW211" t="s">
        <v>54</v>
      </c>
    </row>
    <row r="212" spans="1:49">
      <c r="A212" s="1">
        <f>HYPERLINK("https://cms.ls-nyc.org/matter/dynamic-profile/view/1897198","19-1897198")</f>
        <v>0</v>
      </c>
      <c r="B212" t="s">
        <v>55</v>
      </c>
      <c r="C212" t="s">
        <v>82</v>
      </c>
      <c r="D212" t="s">
        <v>110</v>
      </c>
      <c r="E212" t="s">
        <v>95</v>
      </c>
      <c r="F212" t="s">
        <v>499</v>
      </c>
      <c r="G212" t="s">
        <v>1558</v>
      </c>
      <c r="H212" t="s">
        <v>2691</v>
      </c>
      <c r="I212" t="s">
        <v>3927</v>
      </c>
      <c r="J212" t="s">
        <v>4239</v>
      </c>
      <c r="K212">
        <v>11420</v>
      </c>
      <c r="L212" t="s">
        <v>4275</v>
      </c>
      <c r="M212" t="s">
        <v>4275</v>
      </c>
      <c r="N212" t="s">
        <v>4278</v>
      </c>
      <c r="O212" t="s">
        <v>4282</v>
      </c>
      <c r="P212" t="s">
        <v>4492</v>
      </c>
      <c r="Q212" t="s">
        <v>5732</v>
      </c>
      <c r="R212" t="s">
        <v>5753</v>
      </c>
      <c r="S212" t="s">
        <v>5759</v>
      </c>
      <c r="T212" t="s">
        <v>4276</v>
      </c>
      <c r="V212" t="s">
        <v>5767</v>
      </c>
      <c r="W212" t="s">
        <v>5771</v>
      </c>
      <c r="X212" t="s">
        <v>110</v>
      </c>
      <c r="Y212">
        <v>400</v>
      </c>
      <c r="Z212" t="s">
        <v>5803</v>
      </c>
      <c r="AA212" t="s">
        <v>5804</v>
      </c>
      <c r="AB212" t="s">
        <v>5821</v>
      </c>
      <c r="AC212" t="s">
        <v>6036</v>
      </c>
      <c r="AE212" t="s">
        <v>8044</v>
      </c>
      <c r="AF212">
        <v>2</v>
      </c>
      <c r="AG212" t="s">
        <v>9270</v>
      </c>
      <c r="AH212" t="s">
        <v>4280</v>
      </c>
      <c r="AI212">
        <v>-1</v>
      </c>
      <c r="AJ212">
        <v>1</v>
      </c>
      <c r="AK212">
        <v>0</v>
      </c>
      <c r="AL212">
        <v>134.89</v>
      </c>
      <c r="AO212" t="s">
        <v>1425</v>
      </c>
      <c r="AP212">
        <v>16848</v>
      </c>
      <c r="AV212">
        <v>1.53</v>
      </c>
      <c r="AW212" t="s">
        <v>54</v>
      </c>
    </row>
    <row r="213" spans="1:49">
      <c r="A213" s="1">
        <f>HYPERLINK("https://cms.ls-nyc.org/matter/dynamic-profile/view/1899833","19-1899833")</f>
        <v>0</v>
      </c>
      <c r="B213" t="s">
        <v>55</v>
      </c>
      <c r="C213" t="s">
        <v>82</v>
      </c>
      <c r="D213" t="s">
        <v>95</v>
      </c>
      <c r="E213" t="s">
        <v>90</v>
      </c>
      <c r="F213" t="s">
        <v>457</v>
      </c>
      <c r="G213" t="s">
        <v>1559</v>
      </c>
      <c r="H213" t="s">
        <v>2692</v>
      </c>
      <c r="I213">
        <v>604</v>
      </c>
      <c r="J213" t="s">
        <v>4233</v>
      </c>
      <c r="K213">
        <v>11375</v>
      </c>
      <c r="L213" t="s">
        <v>4275</v>
      </c>
      <c r="M213" t="s">
        <v>4277</v>
      </c>
      <c r="N213" t="s">
        <v>4279</v>
      </c>
      <c r="O213" t="s">
        <v>4282</v>
      </c>
      <c r="P213" t="s">
        <v>4493</v>
      </c>
      <c r="Q213" t="s">
        <v>5731</v>
      </c>
      <c r="R213" t="s">
        <v>5753</v>
      </c>
      <c r="S213" t="s">
        <v>5759</v>
      </c>
      <c r="T213" t="s">
        <v>4276</v>
      </c>
      <c r="V213" t="s">
        <v>5767</v>
      </c>
      <c r="X213" t="s">
        <v>95</v>
      </c>
      <c r="Y213">
        <v>1872.6</v>
      </c>
      <c r="Z213" t="s">
        <v>5803</v>
      </c>
      <c r="AA213" t="s">
        <v>5804</v>
      </c>
      <c r="AB213" t="s">
        <v>5821</v>
      </c>
      <c r="AC213" t="s">
        <v>6037</v>
      </c>
      <c r="AD213" t="s">
        <v>7376</v>
      </c>
      <c r="AE213" t="s">
        <v>8045</v>
      </c>
      <c r="AF213">
        <v>99</v>
      </c>
      <c r="AG213" t="s">
        <v>9270</v>
      </c>
      <c r="AH213" t="s">
        <v>9287</v>
      </c>
      <c r="AI213">
        <v>18</v>
      </c>
      <c r="AJ213">
        <v>1</v>
      </c>
      <c r="AK213">
        <v>0</v>
      </c>
      <c r="AL213">
        <v>144.12</v>
      </c>
      <c r="AO213" t="s">
        <v>1425</v>
      </c>
      <c r="AP213">
        <v>18000</v>
      </c>
      <c r="AV213">
        <v>1.98</v>
      </c>
      <c r="AW213" t="s">
        <v>54</v>
      </c>
    </row>
    <row r="214" spans="1:49">
      <c r="A214" s="1">
        <f>HYPERLINK("https://cms.ls-nyc.org/matter/dynamic-profile/view/1888582","19-1888582")</f>
        <v>0</v>
      </c>
      <c r="B214" t="s">
        <v>55</v>
      </c>
      <c r="C214" t="s">
        <v>82</v>
      </c>
      <c r="D214" t="s">
        <v>125</v>
      </c>
      <c r="E214" t="s">
        <v>245</v>
      </c>
      <c r="F214" t="s">
        <v>500</v>
      </c>
      <c r="G214" t="s">
        <v>1560</v>
      </c>
      <c r="H214" t="s">
        <v>2693</v>
      </c>
      <c r="J214" t="s">
        <v>4255</v>
      </c>
      <c r="K214">
        <v>11372</v>
      </c>
      <c r="L214" t="s">
        <v>4275</v>
      </c>
      <c r="M214" t="s">
        <v>4275</v>
      </c>
      <c r="N214" t="s">
        <v>4278</v>
      </c>
      <c r="O214" t="s">
        <v>4282</v>
      </c>
      <c r="P214" t="s">
        <v>4494</v>
      </c>
      <c r="Q214" t="s">
        <v>5731</v>
      </c>
      <c r="R214" t="s">
        <v>5753</v>
      </c>
      <c r="S214" t="s">
        <v>5759</v>
      </c>
      <c r="T214" t="s">
        <v>4276</v>
      </c>
      <c r="V214" t="s">
        <v>5767</v>
      </c>
      <c r="X214" t="s">
        <v>125</v>
      </c>
      <c r="Y214">
        <v>1868</v>
      </c>
      <c r="Z214" t="s">
        <v>5803</v>
      </c>
      <c r="AA214" t="s">
        <v>5804</v>
      </c>
      <c r="AB214" t="s">
        <v>5821</v>
      </c>
      <c r="AC214" t="s">
        <v>6038</v>
      </c>
      <c r="AD214" t="s">
        <v>7377</v>
      </c>
      <c r="AE214" t="s">
        <v>8046</v>
      </c>
      <c r="AF214">
        <v>70</v>
      </c>
      <c r="AG214" t="s">
        <v>9270</v>
      </c>
      <c r="AH214" t="s">
        <v>9287</v>
      </c>
      <c r="AI214">
        <v>5</v>
      </c>
      <c r="AJ214">
        <v>2</v>
      </c>
      <c r="AK214">
        <v>0</v>
      </c>
      <c r="AL214">
        <v>147.84</v>
      </c>
      <c r="AO214" t="s">
        <v>1425</v>
      </c>
      <c r="AP214">
        <v>25000</v>
      </c>
      <c r="AV214">
        <v>1.84</v>
      </c>
      <c r="AW214" t="s">
        <v>54</v>
      </c>
    </row>
    <row r="215" spans="1:49">
      <c r="A215" s="1">
        <f>HYPERLINK("https://cms.ls-nyc.org/matter/dynamic-profile/view/1888554","19-1888554")</f>
        <v>0</v>
      </c>
      <c r="B215" t="s">
        <v>55</v>
      </c>
      <c r="C215" t="s">
        <v>82</v>
      </c>
      <c r="D215" t="s">
        <v>125</v>
      </c>
      <c r="E215" t="s">
        <v>245</v>
      </c>
      <c r="F215" t="s">
        <v>501</v>
      </c>
      <c r="G215" t="s">
        <v>1561</v>
      </c>
      <c r="H215" t="s">
        <v>2694</v>
      </c>
      <c r="I215" t="s">
        <v>3940</v>
      </c>
      <c r="J215" t="s">
        <v>4236</v>
      </c>
      <c r="K215">
        <v>11417</v>
      </c>
      <c r="L215" t="s">
        <v>4275</v>
      </c>
      <c r="M215" t="s">
        <v>4275</v>
      </c>
      <c r="N215" t="s">
        <v>4278</v>
      </c>
      <c r="O215" t="s">
        <v>4282</v>
      </c>
      <c r="P215" t="s">
        <v>4495</v>
      </c>
      <c r="Q215" t="s">
        <v>5732</v>
      </c>
      <c r="R215" t="s">
        <v>5753</v>
      </c>
      <c r="S215" t="s">
        <v>5759</v>
      </c>
      <c r="T215" t="s">
        <v>4276</v>
      </c>
      <c r="V215" t="s">
        <v>5767</v>
      </c>
      <c r="W215" t="s">
        <v>5771</v>
      </c>
      <c r="X215" t="s">
        <v>125</v>
      </c>
      <c r="Y215">
        <v>1300</v>
      </c>
      <c r="Z215" t="s">
        <v>5803</v>
      </c>
      <c r="AA215" t="s">
        <v>5804</v>
      </c>
      <c r="AB215" t="s">
        <v>5821</v>
      </c>
      <c r="AC215" t="s">
        <v>6039</v>
      </c>
      <c r="AD215" t="s">
        <v>7378</v>
      </c>
      <c r="AE215" t="s">
        <v>8047</v>
      </c>
      <c r="AF215">
        <v>3</v>
      </c>
      <c r="AG215" t="s">
        <v>9269</v>
      </c>
      <c r="AH215" t="s">
        <v>4280</v>
      </c>
      <c r="AI215">
        <v>13</v>
      </c>
      <c r="AJ215">
        <v>3</v>
      </c>
      <c r="AK215">
        <v>0</v>
      </c>
      <c r="AL215">
        <v>154.71</v>
      </c>
      <c r="AO215" t="s">
        <v>1425</v>
      </c>
      <c r="AP215">
        <v>33000</v>
      </c>
      <c r="AV215">
        <v>4.09</v>
      </c>
      <c r="AW215" t="s">
        <v>73</v>
      </c>
    </row>
    <row r="216" spans="1:49">
      <c r="A216" s="1">
        <f>HYPERLINK("https://cms.ls-nyc.org/matter/dynamic-profile/view/1878266","18-1878266")</f>
        <v>0</v>
      </c>
      <c r="B216" t="s">
        <v>55</v>
      </c>
      <c r="C216" t="s">
        <v>82</v>
      </c>
      <c r="D216" t="s">
        <v>137</v>
      </c>
      <c r="E216" t="s">
        <v>134</v>
      </c>
      <c r="F216" t="s">
        <v>502</v>
      </c>
      <c r="G216" t="s">
        <v>1562</v>
      </c>
      <c r="H216" t="s">
        <v>2695</v>
      </c>
      <c r="J216" t="s">
        <v>4222</v>
      </c>
      <c r="K216">
        <v>11434</v>
      </c>
      <c r="L216" t="s">
        <v>4275</v>
      </c>
      <c r="M216" t="s">
        <v>4275</v>
      </c>
      <c r="O216" t="s">
        <v>4281</v>
      </c>
      <c r="P216" t="s">
        <v>4496</v>
      </c>
      <c r="Q216" t="s">
        <v>5731</v>
      </c>
      <c r="R216" t="s">
        <v>5751</v>
      </c>
      <c r="S216" t="s">
        <v>5763</v>
      </c>
      <c r="T216" t="s">
        <v>4276</v>
      </c>
      <c r="V216" t="s">
        <v>5767</v>
      </c>
      <c r="W216" t="s">
        <v>5772</v>
      </c>
      <c r="X216" t="s">
        <v>188</v>
      </c>
      <c r="Y216">
        <v>1450</v>
      </c>
      <c r="Z216" t="s">
        <v>5803</v>
      </c>
      <c r="AA216" t="s">
        <v>5805</v>
      </c>
      <c r="AB216" t="s">
        <v>5822</v>
      </c>
      <c r="AC216" t="s">
        <v>5844</v>
      </c>
      <c r="AD216" t="s">
        <v>4700</v>
      </c>
      <c r="AE216" t="s">
        <v>8048</v>
      </c>
      <c r="AF216">
        <v>1</v>
      </c>
      <c r="AG216" t="s">
        <v>9269</v>
      </c>
      <c r="AH216" t="s">
        <v>9282</v>
      </c>
      <c r="AI216">
        <v>5</v>
      </c>
      <c r="AJ216">
        <v>3</v>
      </c>
      <c r="AK216">
        <v>0</v>
      </c>
      <c r="AL216">
        <v>211.74</v>
      </c>
      <c r="AM216" t="s">
        <v>138</v>
      </c>
      <c r="AN216" t="s">
        <v>9293</v>
      </c>
      <c r="AO216" t="s">
        <v>1425</v>
      </c>
      <c r="AP216">
        <v>44000</v>
      </c>
      <c r="AR216" t="s">
        <v>9327</v>
      </c>
      <c r="AS216" t="s">
        <v>5806</v>
      </c>
      <c r="AT216" t="s">
        <v>9370</v>
      </c>
      <c r="AU216" t="s">
        <v>9426</v>
      </c>
      <c r="AV216">
        <v>34.44</v>
      </c>
      <c r="AW216" t="s">
        <v>73</v>
      </c>
    </row>
    <row r="217" spans="1:49">
      <c r="A217" s="1">
        <f>HYPERLINK("https://cms.ls-nyc.org/matter/dynamic-profile/view/1875591","18-1875591")</f>
        <v>0</v>
      </c>
      <c r="B217" t="s">
        <v>56</v>
      </c>
      <c r="C217" t="s">
        <v>82</v>
      </c>
      <c r="D217" t="s">
        <v>122</v>
      </c>
      <c r="E217" t="s">
        <v>257</v>
      </c>
      <c r="F217" t="s">
        <v>503</v>
      </c>
      <c r="G217" t="s">
        <v>1563</v>
      </c>
      <c r="H217" t="s">
        <v>2696</v>
      </c>
      <c r="J217" t="s">
        <v>4254</v>
      </c>
      <c r="K217">
        <v>11692</v>
      </c>
      <c r="L217" t="s">
        <v>4275</v>
      </c>
      <c r="M217" t="s">
        <v>4275</v>
      </c>
      <c r="O217" t="s">
        <v>4283</v>
      </c>
      <c r="P217" t="s">
        <v>4497</v>
      </c>
      <c r="Q217" t="s">
        <v>5732</v>
      </c>
      <c r="R217" t="s">
        <v>5753</v>
      </c>
      <c r="S217" t="s">
        <v>5759</v>
      </c>
      <c r="T217" t="s">
        <v>4276</v>
      </c>
      <c r="V217" t="s">
        <v>5767</v>
      </c>
      <c r="W217" t="s">
        <v>5771</v>
      </c>
      <c r="X217" t="s">
        <v>122</v>
      </c>
      <c r="Y217">
        <v>1000</v>
      </c>
      <c r="Z217" t="s">
        <v>5803</v>
      </c>
      <c r="AA217" t="s">
        <v>5804</v>
      </c>
      <c r="AB217" t="s">
        <v>5821</v>
      </c>
      <c r="AC217" t="s">
        <v>6040</v>
      </c>
      <c r="AD217" t="s">
        <v>4280</v>
      </c>
      <c r="AE217" t="s">
        <v>8049</v>
      </c>
      <c r="AF217">
        <v>1</v>
      </c>
      <c r="AG217" t="s">
        <v>9269</v>
      </c>
      <c r="AH217" t="s">
        <v>4280</v>
      </c>
      <c r="AI217">
        <v>3</v>
      </c>
      <c r="AJ217">
        <v>1</v>
      </c>
      <c r="AK217">
        <v>0</v>
      </c>
      <c r="AL217">
        <v>0</v>
      </c>
      <c r="AO217" t="s">
        <v>1425</v>
      </c>
      <c r="AP217">
        <v>0</v>
      </c>
      <c r="AV217">
        <v>1.6</v>
      </c>
      <c r="AW217" t="s">
        <v>73</v>
      </c>
    </row>
    <row r="218" spans="1:49">
      <c r="A218" s="1">
        <f>HYPERLINK("https://cms.ls-nyc.org/matter/dynamic-profile/view/1881240","18-1881240")</f>
        <v>0</v>
      </c>
      <c r="B218" t="s">
        <v>56</v>
      </c>
      <c r="C218" t="s">
        <v>82</v>
      </c>
      <c r="D218" t="s">
        <v>140</v>
      </c>
      <c r="E218" t="s">
        <v>247</v>
      </c>
      <c r="F218" t="s">
        <v>504</v>
      </c>
      <c r="G218" t="s">
        <v>1564</v>
      </c>
      <c r="H218" t="s">
        <v>2697</v>
      </c>
      <c r="I218" t="s">
        <v>3940</v>
      </c>
      <c r="J218" t="s">
        <v>4243</v>
      </c>
      <c r="K218">
        <v>11691</v>
      </c>
      <c r="L218" t="s">
        <v>4275</v>
      </c>
      <c r="M218" t="s">
        <v>4275</v>
      </c>
      <c r="O218" t="s">
        <v>4283</v>
      </c>
      <c r="P218" t="s">
        <v>4498</v>
      </c>
      <c r="Q218" t="s">
        <v>5731</v>
      </c>
      <c r="R218" t="s">
        <v>5753</v>
      </c>
      <c r="S218" t="s">
        <v>5759</v>
      </c>
      <c r="T218" t="s">
        <v>4276</v>
      </c>
      <c r="V218" t="s">
        <v>5767</v>
      </c>
      <c r="W218" t="s">
        <v>5772</v>
      </c>
      <c r="X218" t="s">
        <v>140</v>
      </c>
      <c r="Y218">
        <v>1534</v>
      </c>
      <c r="Z218" t="s">
        <v>5803</v>
      </c>
      <c r="AA218" t="s">
        <v>5804</v>
      </c>
      <c r="AB218" t="s">
        <v>5821</v>
      </c>
      <c r="AC218" t="s">
        <v>6041</v>
      </c>
      <c r="AD218" t="s">
        <v>7379</v>
      </c>
      <c r="AE218" t="s">
        <v>8050</v>
      </c>
      <c r="AF218">
        <v>3</v>
      </c>
      <c r="AG218" t="s">
        <v>9269</v>
      </c>
      <c r="AH218" t="s">
        <v>9283</v>
      </c>
      <c r="AI218">
        <v>3</v>
      </c>
      <c r="AJ218">
        <v>1</v>
      </c>
      <c r="AK218">
        <v>3</v>
      </c>
      <c r="AL218">
        <v>0</v>
      </c>
      <c r="AO218" t="s">
        <v>1425</v>
      </c>
      <c r="AP218">
        <v>0</v>
      </c>
      <c r="AV218">
        <v>1.2</v>
      </c>
      <c r="AW218" t="s">
        <v>73</v>
      </c>
    </row>
    <row r="219" spans="1:49">
      <c r="A219" s="1">
        <f>HYPERLINK("https://cms.ls-nyc.org/matter/dynamic-profile/view/1872125","18-1872125")</f>
        <v>0</v>
      </c>
      <c r="B219" t="s">
        <v>56</v>
      </c>
      <c r="C219" t="s">
        <v>82</v>
      </c>
      <c r="D219" t="s">
        <v>192</v>
      </c>
      <c r="E219" t="s">
        <v>252</v>
      </c>
      <c r="F219" t="s">
        <v>505</v>
      </c>
      <c r="G219" t="s">
        <v>1565</v>
      </c>
      <c r="H219" t="s">
        <v>2698</v>
      </c>
      <c r="I219">
        <v>1</v>
      </c>
      <c r="J219" t="s">
        <v>4222</v>
      </c>
      <c r="K219">
        <v>11434</v>
      </c>
      <c r="L219" t="s">
        <v>4275</v>
      </c>
      <c r="M219" t="s">
        <v>4275</v>
      </c>
      <c r="O219" t="s">
        <v>4281</v>
      </c>
      <c r="P219" t="s">
        <v>4499</v>
      </c>
      <c r="Q219" t="s">
        <v>5734</v>
      </c>
      <c r="R219" t="s">
        <v>5751</v>
      </c>
      <c r="S219" t="s">
        <v>5758</v>
      </c>
      <c r="T219" t="s">
        <v>4276</v>
      </c>
      <c r="V219" t="s">
        <v>5767</v>
      </c>
      <c r="W219" t="s">
        <v>5776</v>
      </c>
      <c r="X219" t="s">
        <v>192</v>
      </c>
      <c r="Y219">
        <v>250</v>
      </c>
      <c r="Z219" t="s">
        <v>5803</v>
      </c>
      <c r="AA219" t="s">
        <v>5804</v>
      </c>
      <c r="AB219" t="s">
        <v>5824</v>
      </c>
      <c r="AC219" t="s">
        <v>6042</v>
      </c>
      <c r="AD219" t="s">
        <v>7380</v>
      </c>
      <c r="AE219" t="s">
        <v>8051</v>
      </c>
      <c r="AF219">
        <v>2</v>
      </c>
      <c r="AG219" t="s">
        <v>9269</v>
      </c>
      <c r="AH219" t="s">
        <v>4280</v>
      </c>
      <c r="AI219">
        <v>1</v>
      </c>
      <c r="AJ219">
        <v>2</v>
      </c>
      <c r="AK219">
        <v>0</v>
      </c>
      <c r="AL219">
        <v>0</v>
      </c>
      <c r="AO219" t="s">
        <v>1425</v>
      </c>
      <c r="AP219">
        <v>0</v>
      </c>
      <c r="AR219" t="s">
        <v>9329</v>
      </c>
      <c r="AS219" t="s">
        <v>5806</v>
      </c>
      <c r="AT219" t="s">
        <v>9370</v>
      </c>
      <c r="AU219" t="s">
        <v>9427</v>
      </c>
      <c r="AV219">
        <v>18</v>
      </c>
      <c r="AW219" t="s">
        <v>56</v>
      </c>
    </row>
    <row r="220" spans="1:49">
      <c r="A220" s="1">
        <f>HYPERLINK("https://cms.ls-nyc.org/matter/dynamic-profile/view/1899983","19-1899983")</f>
        <v>0</v>
      </c>
      <c r="B220" t="s">
        <v>56</v>
      </c>
      <c r="C220" t="s">
        <v>82</v>
      </c>
      <c r="D220" t="s">
        <v>99</v>
      </c>
      <c r="E220" t="s">
        <v>97</v>
      </c>
      <c r="F220" t="s">
        <v>506</v>
      </c>
      <c r="G220" t="s">
        <v>1566</v>
      </c>
      <c r="H220" t="s">
        <v>2699</v>
      </c>
      <c r="J220" t="s">
        <v>4235</v>
      </c>
      <c r="K220">
        <v>11421</v>
      </c>
      <c r="L220" t="s">
        <v>4275</v>
      </c>
      <c r="M220" t="s">
        <v>4277</v>
      </c>
      <c r="N220" t="s">
        <v>4279</v>
      </c>
      <c r="O220" t="s">
        <v>4282</v>
      </c>
      <c r="P220" t="s">
        <v>4500</v>
      </c>
      <c r="Q220" t="s">
        <v>5732</v>
      </c>
      <c r="R220" t="s">
        <v>5753</v>
      </c>
      <c r="S220" t="s">
        <v>5759</v>
      </c>
      <c r="T220" t="s">
        <v>4276</v>
      </c>
      <c r="V220" t="s">
        <v>5767</v>
      </c>
      <c r="W220" t="s">
        <v>5772</v>
      </c>
      <c r="X220" t="s">
        <v>99</v>
      </c>
      <c r="Y220">
        <v>600</v>
      </c>
      <c r="Z220" t="s">
        <v>5803</v>
      </c>
      <c r="AA220" t="s">
        <v>5804</v>
      </c>
      <c r="AB220" t="s">
        <v>5821</v>
      </c>
      <c r="AC220" t="s">
        <v>6043</v>
      </c>
      <c r="AD220" t="s">
        <v>7381</v>
      </c>
      <c r="AE220" t="s">
        <v>8052</v>
      </c>
      <c r="AF220">
        <v>5</v>
      </c>
      <c r="AG220" t="s">
        <v>9269</v>
      </c>
      <c r="AH220" t="s">
        <v>4280</v>
      </c>
      <c r="AI220">
        <v>-1</v>
      </c>
      <c r="AJ220">
        <v>1</v>
      </c>
      <c r="AK220">
        <v>0</v>
      </c>
      <c r="AL220">
        <v>0</v>
      </c>
      <c r="AO220" t="s">
        <v>1425</v>
      </c>
      <c r="AP220">
        <v>0</v>
      </c>
      <c r="AV220">
        <v>1.5</v>
      </c>
      <c r="AW220" t="s">
        <v>9549</v>
      </c>
    </row>
    <row r="221" spans="1:49">
      <c r="A221" s="1">
        <f>HYPERLINK("https://cms.ls-nyc.org/matter/dynamic-profile/view/1887577","19-1887577")</f>
        <v>0</v>
      </c>
      <c r="B221" t="s">
        <v>56</v>
      </c>
      <c r="C221" t="s">
        <v>82</v>
      </c>
      <c r="D221" t="s">
        <v>136</v>
      </c>
      <c r="E221" t="s">
        <v>236</v>
      </c>
      <c r="F221" t="s">
        <v>507</v>
      </c>
      <c r="G221" t="s">
        <v>1567</v>
      </c>
      <c r="H221" t="s">
        <v>2700</v>
      </c>
      <c r="I221" t="s">
        <v>3893</v>
      </c>
      <c r="J221" t="s">
        <v>4235</v>
      </c>
      <c r="K221">
        <v>11421</v>
      </c>
      <c r="L221" t="s">
        <v>4275</v>
      </c>
      <c r="M221" t="s">
        <v>4275</v>
      </c>
      <c r="O221" t="s">
        <v>4282</v>
      </c>
      <c r="P221" t="s">
        <v>4501</v>
      </c>
      <c r="Q221" t="s">
        <v>5731</v>
      </c>
      <c r="R221" t="s">
        <v>5753</v>
      </c>
      <c r="S221" t="s">
        <v>5759</v>
      </c>
      <c r="T221" t="s">
        <v>4276</v>
      </c>
      <c r="V221" t="s">
        <v>5767</v>
      </c>
      <c r="W221" t="s">
        <v>5771</v>
      </c>
      <c r="X221" t="s">
        <v>136</v>
      </c>
      <c r="Y221">
        <v>1500</v>
      </c>
      <c r="Z221" t="s">
        <v>5803</v>
      </c>
      <c r="AA221" t="s">
        <v>5804</v>
      </c>
      <c r="AB221" t="s">
        <v>5821</v>
      </c>
      <c r="AC221" t="s">
        <v>6044</v>
      </c>
      <c r="AD221" t="s">
        <v>7382</v>
      </c>
      <c r="AE221" t="s">
        <v>8053</v>
      </c>
      <c r="AF221">
        <v>66</v>
      </c>
      <c r="AG221" t="s">
        <v>9272</v>
      </c>
      <c r="AH221" t="s">
        <v>4280</v>
      </c>
      <c r="AI221">
        <v>5</v>
      </c>
      <c r="AJ221">
        <v>1</v>
      </c>
      <c r="AK221">
        <v>2</v>
      </c>
      <c r="AL221">
        <v>0</v>
      </c>
      <c r="AO221" t="s">
        <v>1425</v>
      </c>
      <c r="AP221">
        <v>0</v>
      </c>
      <c r="AV221">
        <v>2.1</v>
      </c>
      <c r="AW221" t="s">
        <v>73</v>
      </c>
    </row>
    <row r="222" spans="1:49">
      <c r="A222" s="1">
        <f>HYPERLINK("https://cms.ls-nyc.org/matter/dynamic-profile/view/1875613","18-1875613")</f>
        <v>0</v>
      </c>
      <c r="B222" t="s">
        <v>56</v>
      </c>
      <c r="C222" t="s">
        <v>82</v>
      </c>
      <c r="D222" t="s">
        <v>122</v>
      </c>
      <c r="E222" t="s">
        <v>259</v>
      </c>
      <c r="F222" t="s">
        <v>508</v>
      </c>
      <c r="G222" t="s">
        <v>1568</v>
      </c>
      <c r="H222" t="s">
        <v>2701</v>
      </c>
      <c r="I222" t="s">
        <v>3941</v>
      </c>
      <c r="J222" t="s">
        <v>4239</v>
      </c>
      <c r="K222">
        <v>11420</v>
      </c>
      <c r="L222" t="s">
        <v>4275</v>
      </c>
      <c r="M222" t="s">
        <v>4275</v>
      </c>
      <c r="O222" t="s">
        <v>4282</v>
      </c>
      <c r="P222" t="s">
        <v>4502</v>
      </c>
      <c r="Q222" t="s">
        <v>5732</v>
      </c>
      <c r="R222" t="s">
        <v>5753</v>
      </c>
      <c r="S222" t="s">
        <v>5759</v>
      </c>
      <c r="T222" t="s">
        <v>4276</v>
      </c>
      <c r="V222" t="s">
        <v>5767</v>
      </c>
      <c r="W222" t="s">
        <v>5772</v>
      </c>
      <c r="X222" t="s">
        <v>259</v>
      </c>
      <c r="Y222">
        <v>1600</v>
      </c>
      <c r="Z222" t="s">
        <v>5803</v>
      </c>
      <c r="AA222" t="s">
        <v>5804</v>
      </c>
      <c r="AB222" t="s">
        <v>5821</v>
      </c>
      <c r="AC222" t="s">
        <v>6045</v>
      </c>
      <c r="AD222" t="s">
        <v>7383</v>
      </c>
      <c r="AE222" t="s">
        <v>8054</v>
      </c>
      <c r="AF222">
        <v>2</v>
      </c>
      <c r="AG222" t="s">
        <v>9269</v>
      </c>
      <c r="AH222" t="s">
        <v>4280</v>
      </c>
      <c r="AI222">
        <v>9</v>
      </c>
      <c r="AJ222">
        <v>1</v>
      </c>
      <c r="AK222">
        <v>1</v>
      </c>
      <c r="AL222">
        <v>0</v>
      </c>
      <c r="AO222" t="s">
        <v>1425</v>
      </c>
      <c r="AP222">
        <v>0</v>
      </c>
      <c r="AV222">
        <v>1.55</v>
      </c>
      <c r="AW222" t="s">
        <v>73</v>
      </c>
    </row>
    <row r="223" spans="1:49">
      <c r="A223" s="1">
        <f>HYPERLINK("https://cms.ls-nyc.org/matter/dynamic-profile/view/1872659","18-1872659")</f>
        <v>0</v>
      </c>
      <c r="B223" t="s">
        <v>56</v>
      </c>
      <c r="C223" t="s">
        <v>82</v>
      </c>
      <c r="D223" t="s">
        <v>143</v>
      </c>
      <c r="E223" t="s">
        <v>253</v>
      </c>
      <c r="F223" t="s">
        <v>509</v>
      </c>
      <c r="G223" t="s">
        <v>1569</v>
      </c>
      <c r="H223" t="s">
        <v>2702</v>
      </c>
      <c r="I223" t="s">
        <v>3867</v>
      </c>
      <c r="J223" t="s">
        <v>4245</v>
      </c>
      <c r="K223">
        <v>11418</v>
      </c>
      <c r="L223" t="s">
        <v>4275</v>
      </c>
      <c r="M223" t="s">
        <v>4275</v>
      </c>
      <c r="O223" t="s">
        <v>4282</v>
      </c>
      <c r="P223" t="s">
        <v>4503</v>
      </c>
      <c r="Q223" t="s">
        <v>5732</v>
      </c>
      <c r="R223" t="s">
        <v>5751</v>
      </c>
      <c r="S223" t="s">
        <v>5758</v>
      </c>
      <c r="T223" t="s">
        <v>4276</v>
      </c>
      <c r="V223" t="s">
        <v>5767</v>
      </c>
      <c r="W223" t="s">
        <v>5772</v>
      </c>
      <c r="X223" t="s">
        <v>143</v>
      </c>
      <c r="Y223">
        <v>1800</v>
      </c>
      <c r="Z223" t="s">
        <v>5803</v>
      </c>
      <c r="AA223" t="s">
        <v>5804</v>
      </c>
      <c r="AB223" t="s">
        <v>5822</v>
      </c>
      <c r="AC223" t="s">
        <v>6046</v>
      </c>
      <c r="AD223" t="s">
        <v>4700</v>
      </c>
      <c r="AE223" t="s">
        <v>8055</v>
      </c>
      <c r="AF223">
        <v>2</v>
      </c>
      <c r="AG223" t="s">
        <v>9269</v>
      </c>
      <c r="AH223" t="s">
        <v>4280</v>
      </c>
      <c r="AI223">
        <v>2</v>
      </c>
      <c r="AJ223">
        <v>2</v>
      </c>
      <c r="AK223">
        <v>2</v>
      </c>
      <c r="AL223">
        <v>0</v>
      </c>
      <c r="AO223" t="s">
        <v>9308</v>
      </c>
      <c r="AP223">
        <v>0</v>
      </c>
      <c r="AR223" t="s">
        <v>9329</v>
      </c>
      <c r="AS223" t="s">
        <v>5806</v>
      </c>
      <c r="AT223" t="s">
        <v>9370</v>
      </c>
      <c r="AU223" t="s">
        <v>9428</v>
      </c>
      <c r="AV223">
        <v>6.85</v>
      </c>
      <c r="AW223" t="s">
        <v>74</v>
      </c>
    </row>
    <row r="224" spans="1:49">
      <c r="A224" s="1">
        <f>HYPERLINK("https://cms.ls-nyc.org/matter/dynamic-profile/view/1885961","18-1885961")</f>
        <v>0</v>
      </c>
      <c r="B224" t="s">
        <v>56</v>
      </c>
      <c r="C224" t="s">
        <v>82</v>
      </c>
      <c r="D224" t="s">
        <v>191</v>
      </c>
      <c r="E224" t="s">
        <v>282</v>
      </c>
      <c r="F224" t="s">
        <v>449</v>
      </c>
      <c r="G224" t="s">
        <v>1570</v>
      </c>
      <c r="H224" t="s">
        <v>2703</v>
      </c>
      <c r="I224" t="s">
        <v>3867</v>
      </c>
      <c r="J224" t="s">
        <v>4244</v>
      </c>
      <c r="K224">
        <v>11413</v>
      </c>
      <c r="L224" t="s">
        <v>4275</v>
      </c>
      <c r="M224" t="s">
        <v>4275</v>
      </c>
      <c r="O224" t="s">
        <v>4282</v>
      </c>
      <c r="P224" t="s">
        <v>4504</v>
      </c>
      <c r="Q224" t="s">
        <v>5732</v>
      </c>
      <c r="R224" t="s">
        <v>5753</v>
      </c>
      <c r="S224" t="s">
        <v>5759</v>
      </c>
      <c r="T224" t="s">
        <v>4276</v>
      </c>
      <c r="V224" t="s">
        <v>5767</v>
      </c>
      <c r="W224" t="s">
        <v>5774</v>
      </c>
      <c r="X224" t="s">
        <v>154</v>
      </c>
      <c r="Y224">
        <v>2050</v>
      </c>
      <c r="Z224" t="s">
        <v>5803</v>
      </c>
      <c r="AA224" t="s">
        <v>5804</v>
      </c>
      <c r="AB224" t="s">
        <v>5821</v>
      </c>
      <c r="AC224" t="s">
        <v>6047</v>
      </c>
      <c r="AD224" t="s">
        <v>7384</v>
      </c>
      <c r="AE224" t="s">
        <v>8056</v>
      </c>
      <c r="AF224">
        <v>2</v>
      </c>
      <c r="AG224" t="s">
        <v>9270</v>
      </c>
      <c r="AH224" t="s">
        <v>4280</v>
      </c>
      <c r="AI224">
        <v>8</v>
      </c>
      <c r="AJ224">
        <v>3</v>
      </c>
      <c r="AK224">
        <v>3</v>
      </c>
      <c r="AL224">
        <v>0</v>
      </c>
      <c r="AO224" t="s">
        <v>1425</v>
      </c>
      <c r="AP224">
        <v>0</v>
      </c>
      <c r="AV224">
        <v>0.85</v>
      </c>
      <c r="AW224" t="s">
        <v>54</v>
      </c>
    </row>
    <row r="225" spans="1:49">
      <c r="A225" s="1">
        <f>HYPERLINK("https://cms.ls-nyc.org/matter/dynamic-profile/view/1889547","19-1889547")</f>
        <v>0</v>
      </c>
      <c r="B225" t="s">
        <v>56</v>
      </c>
      <c r="C225" t="s">
        <v>82</v>
      </c>
      <c r="D225" t="s">
        <v>171</v>
      </c>
      <c r="E225" t="s">
        <v>208</v>
      </c>
      <c r="F225" t="s">
        <v>510</v>
      </c>
      <c r="G225" t="s">
        <v>692</v>
      </c>
      <c r="H225" t="s">
        <v>2704</v>
      </c>
      <c r="I225" t="s">
        <v>3842</v>
      </c>
      <c r="J225" t="s">
        <v>4256</v>
      </c>
      <c r="K225">
        <v>11411</v>
      </c>
      <c r="L225" t="s">
        <v>4275</v>
      </c>
      <c r="M225" t="s">
        <v>4275</v>
      </c>
      <c r="O225" t="s">
        <v>4282</v>
      </c>
      <c r="P225" t="s">
        <v>4505</v>
      </c>
      <c r="Q225" t="s">
        <v>5732</v>
      </c>
      <c r="R225" t="s">
        <v>5753</v>
      </c>
      <c r="S225" t="s">
        <v>5759</v>
      </c>
      <c r="T225" t="s">
        <v>4276</v>
      </c>
      <c r="V225" t="s">
        <v>5767</v>
      </c>
      <c r="W225" t="s">
        <v>5774</v>
      </c>
      <c r="X225" t="s">
        <v>165</v>
      </c>
      <c r="Y225">
        <v>700</v>
      </c>
      <c r="Z225" t="s">
        <v>5803</v>
      </c>
      <c r="AA225" t="s">
        <v>5804</v>
      </c>
      <c r="AB225" t="s">
        <v>5821</v>
      </c>
      <c r="AC225" t="s">
        <v>6048</v>
      </c>
      <c r="AD225" t="s">
        <v>7385</v>
      </c>
      <c r="AE225" t="s">
        <v>8057</v>
      </c>
      <c r="AF225">
        <v>3</v>
      </c>
      <c r="AG225" t="s">
        <v>9269</v>
      </c>
      <c r="AH225" t="s">
        <v>4280</v>
      </c>
      <c r="AI225">
        <v>3</v>
      </c>
      <c r="AJ225">
        <v>2</v>
      </c>
      <c r="AK225">
        <v>1</v>
      </c>
      <c r="AL225">
        <v>0</v>
      </c>
      <c r="AO225" t="s">
        <v>1425</v>
      </c>
      <c r="AP225">
        <v>0</v>
      </c>
      <c r="AV225">
        <v>1.25</v>
      </c>
      <c r="AW225" t="s">
        <v>54</v>
      </c>
    </row>
    <row r="226" spans="1:49">
      <c r="A226" s="1">
        <f>HYPERLINK("https://cms.ls-nyc.org/matter/dynamic-profile/view/1888562","19-1888562")</f>
        <v>0</v>
      </c>
      <c r="B226" t="s">
        <v>56</v>
      </c>
      <c r="C226" t="s">
        <v>83</v>
      </c>
      <c r="D226" t="s">
        <v>125</v>
      </c>
      <c r="F226" t="s">
        <v>511</v>
      </c>
      <c r="G226" t="s">
        <v>1571</v>
      </c>
      <c r="H226" t="s">
        <v>2705</v>
      </c>
      <c r="I226" t="s">
        <v>3878</v>
      </c>
      <c r="J226" t="s">
        <v>4225</v>
      </c>
      <c r="K226">
        <v>11385</v>
      </c>
      <c r="L226" t="s">
        <v>4275</v>
      </c>
      <c r="M226" t="s">
        <v>4275</v>
      </c>
      <c r="N226" t="s">
        <v>4278</v>
      </c>
      <c r="O226" t="s">
        <v>4281</v>
      </c>
      <c r="P226" t="s">
        <v>4506</v>
      </c>
      <c r="Q226" t="s">
        <v>5732</v>
      </c>
      <c r="R226" t="s">
        <v>5751</v>
      </c>
      <c r="T226" t="s">
        <v>4276</v>
      </c>
      <c r="V226" t="s">
        <v>5767</v>
      </c>
      <c r="W226" t="s">
        <v>5772</v>
      </c>
      <c r="X226" t="s">
        <v>125</v>
      </c>
      <c r="Y226">
        <v>550</v>
      </c>
      <c r="Z226" t="s">
        <v>5803</v>
      </c>
      <c r="AA226" t="s">
        <v>5804</v>
      </c>
      <c r="AC226" t="s">
        <v>6049</v>
      </c>
      <c r="AD226" t="s">
        <v>7386</v>
      </c>
      <c r="AE226" t="s">
        <v>8058</v>
      </c>
      <c r="AF226">
        <v>3</v>
      </c>
      <c r="AG226" t="s">
        <v>9269</v>
      </c>
      <c r="AH226" t="s">
        <v>4280</v>
      </c>
      <c r="AI226">
        <v>1</v>
      </c>
      <c r="AJ226">
        <v>2</v>
      </c>
      <c r="AK226">
        <v>0</v>
      </c>
      <c r="AL226">
        <v>0</v>
      </c>
      <c r="AO226" t="s">
        <v>1425</v>
      </c>
      <c r="AP226">
        <v>0</v>
      </c>
      <c r="AV226">
        <v>14.6</v>
      </c>
      <c r="AW226" t="s">
        <v>73</v>
      </c>
    </row>
    <row r="227" spans="1:49">
      <c r="A227" s="1">
        <f>HYPERLINK("https://cms.ls-nyc.org/matter/dynamic-profile/view/1888340","19-1888340")</f>
        <v>0</v>
      </c>
      <c r="B227" t="s">
        <v>56</v>
      </c>
      <c r="C227" t="s">
        <v>82</v>
      </c>
      <c r="D227" t="s">
        <v>135</v>
      </c>
      <c r="E227" t="s">
        <v>123</v>
      </c>
      <c r="F227" t="s">
        <v>512</v>
      </c>
      <c r="G227" t="s">
        <v>1572</v>
      </c>
      <c r="H227" t="s">
        <v>2706</v>
      </c>
      <c r="I227" t="s">
        <v>3942</v>
      </c>
      <c r="J227" t="s">
        <v>4251</v>
      </c>
      <c r="K227">
        <v>11377</v>
      </c>
      <c r="L227" t="s">
        <v>4275</v>
      </c>
      <c r="M227" t="s">
        <v>4275</v>
      </c>
      <c r="O227" t="s">
        <v>4282</v>
      </c>
      <c r="P227" t="s">
        <v>4507</v>
      </c>
      <c r="Q227" t="s">
        <v>5731</v>
      </c>
      <c r="R227" t="s">
        <v>5753</v>
      </c>
      <c r="S227" t="s">
        <v>5759</v>
      </c>
      <c r="T227" t="s">
        <v>4276</v>
      </c>
      <c r="V227" t="s">
        <v>5768</v>
      </c>
      <c r="W227" t="s">
        <v>5774</v>
      </c>
      <c r="X227" t="s">
        <v>273</v>
      </c>
      <c r="Y227">
        <v>415</v>
      </c>
      <c r="Z227" t="s">
        <v>5803</v>
      </c>
      <c r="AA227" t="s">
        <v>5804</v>
      </c>
      <c r="AB227" t="s">
        <v>5821</v>
      </c>
      <c r="AC227" t="s">
        <v>6050</v>
      </c>
      <c r="AD227" t="s">
        <v>7387</v>
      </c>
      <c r="AE227" t="s">
        <v>8059</v>
      </c>
      <c r="AF227">
        <v>1018</v>
      </c>
      <c r="AG227" t="s">
        <v>9271</v>
      </c>
      <c r="AH227" t="s">
        <v>4280</v>
      </c>
      <c r="AI227">
        <v>38</v>
      </c>
      <c r="AJ227">
        <v>2</v>
      </c>
      <c r="AK227">
        <v>2</v>
      </c>
      <c r="AL227">
        <v>0</v>
      </c>
      <c r="AO227" t="s">
        <v>1425</v>
      </c>
      <c r="AP227">
        <v>0</v>
      </c>
      <c r="AV227">
        <v>1.45</v>
      </c>
      <c r="AW227" t="s">
        <v>54</v>
      </c>
    </row>
    <row r="228" spans="1:49">
      <c r="A228" s="1">
        <f>HYPERLINK("https://cms.ls-nyc.org/matter/dynamic-profile/view/1890229","19-1890229")</f>
        <v>0</v>
      </c>
      <c r="B228" t="s">
        <v>56</v>
      </c>
      <c r="C228" t="s">
        <v>82</v>
      </c>
      <c r="D228" t="s">
        <v>127</v>
      </c>
      <c r="E228" t="s">
        <v>123</v>
      </c>
      <c r="F228" t="s">
        <v>513</v>
      </c>
      <c r="G228" t="s">
        <v>1573</v>
      </c>
      <c r="H228" t="s">
        <v>2707</v>
      </c>
      <c r="I228" t="s">
        <v>3943</v>
      </c>
      <c r="J228" t="s">
        <v>4233</v>
      </c>
      <c r="K228">
        <v>11375</v>
      </c>
      <c r="L228" t="s">
        <v>4275</v>
      </c>
      <c r="M228" t="s">
        <v>4275</v>
      </c>
      <c r="O228" t="s">
        <v>4282</v>
      </c>
      <c r="P228" t="s">
        <v>4508</v>
      </c>
      <c r="Q228" t="s">
        <v>5731</v>
      </c>
      <c r="R228" t="s">
        <v>5753</v>
      </c>
      <c r="S228" t="s">
        <v>5759</v>
      </c>
      <c r="T228" t="s">
        <v>4276</v>
      </c>
      <c r="V228" t="s">
        <v>5767</v>
      </c>
      <c r="W228" t="s">
        <v>5772</v>
      </c>
      <c r="X228" t="s">
        <v>179</v>
      </c>
      <c r="Y228">
        <v>1875</v>
      </c>
      <c r="Z228" t="s">
        <v>5803</v>
      </c>
      <c r="AA228" t="s">
        <v>5804</v>
      </c>
      <c r="AB228" t="s">
        <v>5821</v>
      </c>
      <c r="AC228" t="s">
        <v>6051</v>
      </c>
      <c r="AD228" t="s">
        <v>7388</v>
      </c>
      <c r="AE228" t="s">
        <v>8060</v>
      </c>
      <c r="AF228">
        <v>110</v>
      </c>
      <c r="AG228" t="s">
        <v>9275</v>
      </c>
      <c r="AH228" t="s">
        <v>4280</v>
      </c>
      <c r="AI228">
        <v>2</v>
      </c>
      <c r="AJ228">
        <v>1</v>
      </c>
      <c r="AK228">
        <v>3</v>
      </c>
      <c r="AL228">
        <v>0</v>
      </c>
      <c r="AO228" t="s">
        <v>9309</v>
      </c>
      <c r="AP228">
        <v>0</v>
      </c>
      <c r="AV228">
        <v>1.9</v>
      </c>
      <c r="AW228" t="s">
        <v>74</v>
      </c>
    </row>
    <row r="229" spans="1:49">
      <c r="A229" s="1">
        <f>HYPERLINK("https://cms.ls-nyc.org/matter/dynamic-profile/view/1885976","18-1885976")</f>
        <v>0</v>
      </c>
      <c r="B229" t="s">
        <v>56</v>
      </c>
      <c r="C229" t="s">
        <v>82</v>
      </c>
      <c r="D229" t="s">
        <v>191</v>
      </c>
      <c r="E229" t="s">
        <v>284</v>
      </c>
      <c r="F229" t="s">
        <v>376</v>
      </c>
      <c r="G229" t="s">
        <v>1574</v>
      </c>
      <c r="H229" t="s">
        <v>2708</v>
      </c>
      <c r="I229" t="s">
        <v>3867</v>
      </c>
      <c r="J229" t="s">
        <v>4229</v>
      </c>
      <c r="K229">
        <v>11367</v>
      </c>
      <c r="L229" t="s">
        <v>4275</v>
      </c>
      <c r="M229" t="s">
        <v>4275</v>
      </c>
      <c r="O229" t="s">
        <v>4282</v>
      </c>
      <c r="P229" t="s">
        <v>4509</v>
      </c>
      <c r="Q229" t="s">
        <v>5731</v>
      </c>
      <c r="R229" t="s">
        <v>5753</v>
      </c>
      <c r="S229" t="s">
        <v>5759</v>
      </c>
      <c r="T229" t="s">
        <v>4276</v>
      </c>
      <c r="V229" t="s">
        <v>5767</v>
      </c>
      <c r="W229" t="s">
        <v>5774</v>
      </c>
      <c r="X229" t="s">
        <v>284</v>
      </c>
      <c r="Y229">
        <v>1850</v>
      </c>
      <c r="Z229" t="s">
        <v>5803</v>
      </c>
      <c r="AA229" t="s">
        <v>5804</v>
      </c>
      <c r="AB229" t="s">
        <v>5821</v>
      </c>
      <c r="AC229" t="s">
        <v>6052</v>
      </c>
      <c r="AD229" t="s">
        <v>7389</v>
      </c>
      <c r="AE229" t="s">
        <v>8061</v>
      </c>
      <c r="AF229">
        <v>2</v>
      </c>
      <c r="AG229" t="s">
        <v>9269</v>
      </c>
      <c r="AH229" t="s">
        <v>4280</v>
      </c>
      <c r="AI229">
        <v>1</v>
      </c>
      <c r="AJ229">
        <v>1</v>
      </c>
      <c r="AK229">
        <v>2</v>
      </c>
      <c r="AL229">
        <v>0</v>
      </c>
      <c r="AO229" t="s">
        <v>1425</v>
      </c>
      <c r="AP229">
        <v>0</v>
      </c>
      <c r="AV229">
        <v>1.1</v>
      </c>
      <c r="AW229" t="s">
        <v>74</v>
      </c>
    </row>
    <row r="230" spans="1:49">
      <c r="A230" s="1">
        <f>HYPERLINK("https://cms.ls-nyc.org/matter/dynamic-profile/view/1887012","19-1887012")</f>
        <v>0</v>
      </c>
      <c r="B230" t="s">
        <v>56</v>
      </c>
      <c r="C230" t="s">
        <v>82</v>
      </c>
      <c r="D230" t="s">
        <v>193</v>
      </c>
      <c r="E230" t="s">
        <v>208</v>
      </c>
      <c r="F230" t="s">
        <v>514</v>
      </c>
      <c r="G230" t="s">
        <v>1575</v>
      </c>
      <c r="H230" t="s">
        <v>2709</v>
      </c>
      <c r="J230" t="s">
        <v>4250</v>
      </c>
      <c r="K230">
        <v>11412</v>
      </c>
      <c r="L230" t="s">
        <v>4275</v>
      </c>
      <c r="M230" t="s">
        <v>4275</v>
      </c>
      <c r="O230" t="s">
        <v>4282</v>
      </c>
      <c r="P230" t="s">
        <v>4510</v>
      </c>
      <c r="Q230" t="s">
        <v>5732</v>
      </c>
      <c r="R230" t="s">
        <v>5753</v>
      </c>
      <c r="S230" t="s">
        <v>5759</v>
      </c>
      <c r="T230" t="s">
        <v>4276</v>
      </c>
      <c r="V230" t="s">
        <v>5767</v>
      </c>
      <c r="W230" t="s">
        <v>5771</v>
      </c>
      <c r="X230" t="s">
        <v>165</v>
      </c>
      <c r="Y230">
        <v>1268</v>
      </c>
      <c r="Z230" t="s">
        <v>5803</v>
      </c>
      <c r="AA230" t="s">
        <v>5804</v>
      </c>
      <c r="AB230" t="s">
        <v>5821</v>
      </c>
      <c r="AC230" t="s">
        <v>6053</v>
      </c>
      <c r="AD230" t="s">
        <v>7390</v>
      </c>
      <c r="AE230" t="s">
        <v>8062</v>
      </c>
      <c r="AF230">
        <v>2</v>
      </c>
      <c r="AG230" t="s">
        <v>9269</v>
      </c>
      <c r="AH230" t="s">
        <v>9284</v>
      </c>
      <c r="AI230">
        <v>4</v>
      </c>
      <c r="AJ230">
        <v>1</v>
      </c>
      <c r="AK230">
        <v>1</v>
      </c>
      <c r="AL230">
        <v>9.48</v>
      </c>
      <c r="AO230" t="s">
        <v>1425</v>
      </c>
      <c r="AP230">
        <v>1560</v>
      </c>
      <c r="AV230">
        <v>1.45</v>
      </c>
      <c r="AW230" t="s">
        <v>56</v>
      </c>
    </row>
    <row r="231" spans="1:49">
      <c r="A231" s="1">
        <f>HYPERLINK("https://cms.ls-nyc.org/matter/dynamic-profile/view/1876355","18-1876355")</f>
        <v>0</v>
      </c>
      <c r="B231" t="s">
        <v>56</v>
      </c>
      <c r="C231" t="s">
        <v>82</v>
      </c>
      <c r="D231" t="s">
        <v>194</v>
      </c>
      <c r="E231" t="s">
        <v>284</v>
      </c>
      <c r="F231" t="s">
        <v>515</v>
      </c>
      <c r="G231" t="s">
        <v>1576</v>
      </c>
      <c r="H231" t="s">
        <v>2710</v>
      </c>
      <c r="J231" t="s">
        <v>4222</v>
      </c>
      <c r="K231">
        <v>11433</v>
      </c>
      <c r="L231" t="s">
        <v>4275</v>
      </c>
      <c r="M231" t="s">
        <v>4275</v>
      </c>
      <c r="O231" t="s">
        <v>4281</v>
      </c>
      <c r="P231" t="s">
        <v>4511</v>
      </c>
      <c r="Q231" t="s">
        <v>5732</v>
      </c>
      <c r="R231" t="s">
        <v>5751</v>
      </c>
      <c r="S231" t="s">
        <v>5758</v>
      </c>
      <c r="T231" t="s">
        <v>4276</v>
      </c>
      <c r="V231" t="s">
        <v>5767</v>
      </c>
      <c r="W231" t="s">
        <v>5772</v>
      </c>
      <c r="X231" t="s">
        <v>194</v>
      </c>
      <c r="Y231">
        <v>865</v>
      </c>
      <c r="Z231" t="s">
        <v>5803</v>
      </c>
      <c r="AA231" t="s">
        <v>5805</v>
      </c>
      <c r="AB231" t="s">
        <v>5822</v>
      </c>
      <c r="AC231" t="s">
        <v>6054</v>
      </c>
      <c r="AD231" t="s">
        <v>7391</v>
      </c>
      <c r="AE231" t="s">
        <v>8063</v>
      </c>
      <c r="AF231">
        <v>3</v>
      </c>
      <c r="AG231" t="s">
        <v>9269</v>
      </c>
      <c r="AH231" t="s">
        <v>9284</v>
      </c>
      <c r="AI231">
        <v>1</v>
      </c>
      <c r="AJ231">
        <v>1</v>
      </c>
      <c r="AK231">
        <v>0</v>
      </c>
      <c r="AL231">
        <v>17.79</v>
      </c>
      <c r="AO231" t="s">
        <v>1425</v>
      </c>
      <c r="AP231">
        <v>2160</v>
      </c>
      <c r="AR231" t="s">
        <v>9326</v>
      </c>
      <c r="AS231" t="s">
        <v>5806</v>
      </c>
      <c r="AT231" t="s">
        <v>9370</v>
      </c>
      <c r="AU231" t="s">
        <v>9429</v>
      </c>
      <c r="AV231">
        <v>14.85</v>
      </c>
      <c r="AW231" t="s">
        <v>54</v>
      </c>
    </row>
    <row r="232" spans="1:49">
      <c r="A232" s="1">
        <f>HYPERLINK("https://cms.ls-nyc.org/matter/dynamic-profile/view/1888570","19-1888570")</f>
        <v>0</v>
      </c>
      <c r="B232" t="s">
        <v>56</v>
      </c>
      <c r="C232" t="s">
        <v>82</v>
      </c>
      <c r="D232" t="s">
        <v>125</v>
      </c>
      <c r="E232" t="s">
        <v>236</v>
      </c>
      <c r="F232" t="s">
        <v>516</v>
      </c>
      <c r="G232" t="s">
        <v>1450</v>
      </c>
      <c r="H232" t="s">
        <v>2711</v>
      </c>
      <c r="I232" t="s">
        <v>3944</v>
      </c>
      <c r="J232" t="s">
        <v>4241</v>
      </c>
      <c r="K232">
        <v>11368</v>
      </c>
      <c r="L232" t="s">
        <v>4275</v>
      </c>
      <c r="M232" t="s">
        <v>4275</v>
      </c>
      <c r="O232" t="s">
        <v>4282</v>
      </c>
      <c r="P232" t="s">
        <v>4512</v>
      </c>
      <c r="Q232" t="s">
        <v>5731</v>
      </c>
      <c r="R232" t="s">
        <v>5753</v>
      </c>
      <c r="S232" t="s">
        <v>5759</v>
      </c>
      <c r="T232" t="s">
        <v>4276</v>
      </c>
      <c r="V232" t="s">
        <v>5767</v>
      </c>
      <c r="W232" t="s">
        <v>5774</v>
      </c>
      <c r="X232" t="s">
        <v>88</v>
      </c>
      <c r="Y232">
        <v>1768</v>
      </c>
      <c r="Z232" t="s">
        <v>5803</v>
      </c>
      <c r="AA232" t="s">
        <v>5804</v>
      </c>
      <c r="AB232" t="s">
        <v>5821</v>
      </c>
      <c r="AC232" t="s">
        <v>6055</v>
      </c>
      <c r="AD232" t="s">
        <v>7392</v>
      </c>
      <c r="AE232" t="s">
        <v>8064</v>
      </c>
      <c r="AF232">
        <v>233</v>
      </c>
      <c r="AG232" t="s">
        <v>9272</v>
      </c>
      <c r="AH232" t="s">
        <v>4280</v>
      </c>
      <c r="AI232">
        <v>26</v>
      </c>
      <c r="AJ232">
        <v>1</v>
      </c>
      <c r="AK232">
        <v>0</v>
      </c>
      <c r="AL232">
        <v>18.73</v>
      </c>
      <c r="AO232" t="s">
        <v>1425</v>
      </c>
      <c r="AP232">
        <v>2340</v>
      </c>
      <c r="AV232">
        <v>1</v>
      </c>
      <c r="AW232" t="s">
        <v>54</v>
      </c>
    </row>
    <row r="233" spans="1:49">
      <c r="A233" s="1">
        <f>HYPERLINK("https://cms.ls-nyc.org/matter/dynamic-profile/view/1890285","19-1890285")</f>
        <v>0</v>
      </c>
      <c r="B233" t="s">
        <v>56</v>
      </c>
      <c r="C233" t="s">
        <v>82</v>
      </c>
      <c r="D233" t="s">
        <v>127</v>
      </c>
      <c r="E233" t="s">
        <v>208</v>
      </c>
      <c r="F233" t="s">
        <v>517</v>
      </c>
      <c r="G233" t="s">
        <v>1577</v>
      </c>
      <c r="H233" t="s">
        <v>2712</v>
      </c>
      <c r="I233" t="s">
        <v>3945</v>
      </c>
      <c r="J233" t="s">
        <v>4236</v>
      </c>
      <c r="K233">
        <v>11416</v>
      </c>
      <c r="L233" t="s">
        <v>4275</v>
      </c>
      <c r="M233" t="s">
        <v>4275</v>
      </c>
      <c r="O233" t="s">
        <v>4282</v>
      </c>
      <c r="P233" t="s">
        <v>4513</v>
      </c>
      <c r="Q233" t="s">
        <v>5731</v>
      </c>
      <c r="R233" t="s">
        <v>5753</v>
      </c>
      <c r="S233" t="s">
        <v>5759</v>
      </c>
      <c r="T233" t="s">
        <v>4276</v>
      </c>
      <c r="V233" t="s">
        <v>5767</v>
      </c>
      <c r="W233" t="s">
        <v>5772</v>
      </c>
      <c r="X233" t="s">
        <v>165</v>
      </c>
      <c r="Y233">
        <v>1000</v>
      </c>
      <c r="Z233" t="s">
        <v>5803</v>
      </c>
      <c r="AA233" t="s">
        <v>5804</v>
      </c>
      <c r="AB233" t="s">
        <v>5821</v>
      </c>
      <c r="AC233" t="s">
        <v>6056</v>
      </c>
      <c r="AD233" t="s">
        <v>7393</v>
      </c>
      <c r="AE233" t="s">
        <v>8065</v>
      </c>
      <c r="AF233">
        <v>4</v>
      </c>
      <c r="AG233" t="s">
        <v>9269</v>
      </c>
      <c r="AH233" t="s">
        <v>4280</v>
      </c>
      <c r="AI233">
        <v>10</v>
      </c>
      <c r="AJ233">
        <v>1</v>
      </c>
      <c r="AK233">
        <v>0</v>
      </c>
      <c r="AL233">
        <v>19.05</v>
      </c>
      <c r="AO233" t="s">
        <v>1425</v>
      </c>
      <c r="AP233">
        <v>2379</v>
      </c>
      <c r="AV233">
        <v>1.25</v>
      </c>
      <c r="AW233" t="s">
        <v>74</v>
      </c>
    </row>
    <row r="234" spans="1:49">
      <c r="A234" s="1">
        <f>HYPERLINK("https://cms.ls-nyc.org/matter/dynamic-profile/view/1872490","18-1872490")</f>
        <v>0</v>
      </c>
      <c r="B234" t="s">
        <v>56</v>
      </c>
      <c r="C234" t="s">
        <v>82</v>
      </c>
      <c r="D234" t="s">
        <v>195</v>
      </c>
      <c r="E234" t="s">
        <v>293</v>
      </c>
      <c r="F234" t="s">
        <v>376</v>
      </c>
      <c r="G234" t="s">
        <v>1578</v>
      </c>
      <c r="H234" t="s">
        <v>2713</v>
      </c>
      <c r="I234" t="s">
        <v>3946</v>
      </c>
      <c r="J234" t="s">
        <v>4222</v>
      </c>
      <c r="K234">
        <v>11432</v>
      </c>
      <c r="L234" t="s">
        <v>4275</v>
      </c>
      <c r="M234" t="s">
        <v>4275</v>
      </c>
      <c r="O234" t="s">
        <v>4282</v>
      </c>
      <c r="P234" t="s">
        <v>4514</v>
      </c>
      <c r="Q234" t="s">
        <v>5731</v>
      </c>
      <c r="R234" t="s">
        <v>5753</v>
      </c>
      <c r="S234" t="s">
        <v>5759</v>
      </c>
      <c r="T234" t="s">
        <v>4276</v>
      </c>
      <c r="V234" t="s">
        <v>5767</v>
      </c>
      <c r="W234" t="s">
        <v>5772</v>
      </c>
      <c r="X234" t="s">
        <v>195</v>
      </c>
      <c r="Y234">
        <v>1342</v>
      </c>
      <c r="Z234" t="s">
        <v>5803</v>
      </c>
      <c r="AA234" t="s">
        <v>5804</v>
      </c>
      <c r="AB234" t="s">
        <v>5821</v>
      </c>
      <c r="AC234" t="s">
        <v>5841</v>
      </c>
      <c r="AD234" t="s">
        <v>7394</v>
      </c>
      <c r="AE234" t="s">
        <v>8066</v>
      </c>
      <c r="AF234">
        <v>60</v>
      </c>
      <c r="AG234" t="s">
        <v>9272</v>
      </c>
      <c r="AH234" t="s">
        <v>4280</v>
      </c>
      <c r="AI234">
        <v>24</v>
      </c>
      <c r="AJ234">
        <v>1</v>
      </c>
      <c r="AK234">
        <v>0</v>
      </c>
      <c r="AL234">
        <v>27.68</v>
      </c>
      <c r="AO234" t="s">
        <v>1425</v>
      </c>
      <c r="AP234">
        <v>3360</v>
      </c>
      <c r="AV234">
        <v>1.05</v>
      </c>
      <c r="AW234" t="s">
        <v>54</v>
      </c>
    </row>
    <row r="235" spans="1:49">
      <c r="A235" s="1">
        <f>HYPERLINK("https://cms.ls-nyc.org/matter/dynamic-profile/view/1875623","18-1875623")</f>
        <v>0</v>
      </c>
      <c r="B235" t="s">
        <v>56</v>
      </c>
      <c r="C235" t="s">
        <v>82</v>
      </c>
      <c r="D235" t="s">
        <v>122</v>
      </c>
      <c r="E235" t="s">
        <v>93</v>
      </c>
      <c r="F235" t="s">
        <v>518</v>
      </c>
      <c r="G235" t="s">
        <v>1579</v>
      </c>
      <c r="H235" t="s">
        <v>2714</v>
      </c>
      <c r="I235" t="s">
        <v>3931</v>
      </c>
      <c r="J235" t="s">
        <v>4232</v>
      </c>
      <c r="K235">
        <v>11104</v>
      </c>
      <c r="L235" t="s">
        <v>4275</v>
      </c>
      <c r="M235" t="s">
        <v>4275</v>
      </c>
      <c r="O235" t="s">
        <v>4282</v>
      </c>
      <c r="P235" t="s">
        <v>4515</v>
      </c>
      <c r="Q235" t="s">
        <v>5731</v>
      </c>
      <c r="R235" t="s">
        <v>5751</v>
      </c>
      <c r="S235" t="s">
        <v>5758</v>
      </c>
      <c r="T235" t="s">
        <v>4276</v>
      </c>
      <c r="V235" t="s">
        <v>5767</v>
      </c>
      <c r="W235" t="s">
        <v>5772</v>
      </c>
      <c r="X235" t="s">
        <v>122</v>
      </c>
      <c r="Y235">
        <v>1106.95</v>
      </c>
      <c r="Z235" t="s">
        <v>5803</v>
      </c>
      <c r="AA235" t="s">
        <v>5804</v>
      </c>
      <c r="AB235" t="s">
        <v>5820</v>
      </c>
      <c r="AC235" t="s">
        <v>6057</v>
      </c>
      <c r="AD235" t="s">
        <v>7395</v>
      </c>
      <c r="AE235" t="s">
        <v>8067</v>
      </c>
      <c r="AF235">
        <v>7</v>
      </c>
      <c r="AG235" t="s">
        <v>9272</v>
      </c>
      <c r="AH235" t="s">
        <v>4280</v>
      </c>
      <c r="AI235">
        <v>25</v>
      </c>
      <c r="AJ235">
        <v>1</v>
      </c>
      <c r="AK235">
        <v>0</v>
      </c>
      <c r="AL235">
        <v>30.36</v>
      </c>
      <c r="AO235" t="s">
        <v>1425</v>
      </c>
      <c r="AP235">
        <v>3686</v>
      </c>
      <c r="AR235" t="s">
        <v>9329</v>
      </c>
      <c r="AS235" t="s">
        <v>9336</v>
      </c>
      <c r="AT235" t="s">
        <v>9369</v>
      </c>
      <c r="AU235" t="s">
        <v>9430</v>
      </c>
      <c r="AV235">
        <v>22.05</v>
      </c>
      <c r="AW235" t="s">
        <v>54</v>
      </c>
    </row>
    <row r="236" spans="1:49">
      <c r="A236" s="1">
        <f>HYPERLINK("https://cms.ls-nyc.org/matter/dynamic-profile/view/1894342","19-1894342")</f>
        <v>0</v>
      </c>
      <c r="B236" t="s">
        <v>56</v>
      </c>
      <c r="C236" t="s">
        <v>83</v>
      </c>
      <c r="D236" t="s">
        <v>121</v>
      </c>
      <c r="F236" t="s">
        <v>376</v>
      </c>
      <c r="G236" t="s">
        <v>1580</v>
      </c>
      <c r="H236" t="s">
        <v>2715</v>
      </c>
      <c r="I236">
        <v>1</v>
      </c>
      <c r="J236" t="s">
        <v>4225</v>
      </c>
      <c r="K236">
        <v>11385</v>
      </c>
      <c r="L236" t="s">
        <v>4275</v>
      </c>
      <c r="M236" t="s">
        <v>4275</v>
      </c>
      <c r="N236" t="s">
        <v>4278</v>
      </c>
      <c r="O236" t="s">
        <v>4281</v>
      </c>
      <c r="P236" t="s">
        <v>4516</v>
      </c>
      <c r="Q236" t="s">
        <v>5732</v>
      </c>
      <c r="R236" t="s">
        <v>5751</v>
      </c>
      <c r="T236" t="s">
        <v>4276</v>
      </c>
      <c r="V236" t="s">
        <v>5767</v>
      </c>
      <c r="W236" t="s">
        <v>5772</v>
      </c>
      <c r="X236" t="s">
        <v>270</v>
      </c>
      <c r="Y236">
        <v>1750</v>
      </c>
      <c r="Z236" t="s">
        <v>5803</v>
      </c>
      <c r="AA236" t="s">
        <v>5805</v>
      </c>
      <c r="AC236" t="s">
        <v>6058</v>
      </c>
      <c r="AE236" t="s">
        <v>8068</v>
      </c>
      <c r="AF236">
        <v>2</v>
      </c>
      <c r="AG236" t="s">
        <v>9269</v>
      </c>
      <c r="AH236" t="s">
        <v>4280</v>
      </c>
      <c r="AI236">
        <v>2</v>
      </c>
      <c r="AJ236">
        <v>2</v>
      </c>
      <c r="AK236">
        <v>3</v>
      </c>
      <c r="AL236">
        <v>33.15</v>
      </c>
      <c r="AO236" t="s">
        <v>9298</v>
      </c>
      <c r="AP236">
        <v>10000</v>
      </c>
      <c r="AV236">
        <v>3.45</v>
      </c>
      <c r="AW236" t="s">
        <v>54</v>
      </c>
    </row>
    <row r="237" spans="1:49">
      <c r="A237" s="1">
        <f>HYPERLINK("https://cms.ls-nyc.org/matter/dynamic-profile/view/1898063","19-1898063")</f>
        <v>0</v>
      </c>
      <c r="B237" t="s">
        <v>56</v>
      </c>
      <c r="C237" t="s">
        <v>82</v>
      </c>
      <c r="D237" t="s">
        <v>123</v>
      </c>
      <c r="E237" t="s">
        <v>217</v>
      </c>
      <c r="F237" t="s">
        <v>519</v>
      </c>
      <c r="G237" t="s">
        <v>1581</v>
      </c>
      <c r="H237" t="s">
        <v>2716</v>
      </c>
      <c r="I237" t="s">
        <v>3909</v>
      </c>
      <c r="J237" t="s">
        <v>4255</v>
      </c>
      <c r="K237">
        <v>11372</v>
      </c>
      <c r="L237" t="s">
        <v>4275</v>
      </c>
      <c r="M237" t="s">
        <v>4275</v>
      </c>
      <c r="N237" t="s">
        <v>4278</v>
      </c>
      <c r="O237" t="s">
        <v>4282</v>
      </c>
      <c r="P237" t="s">
        <v>4517</v>
      </c>
      <c r="Q237" t="s">
        <v>5732</v>
      </c>
      <c r="R237" t="s">
        <v>5753</v>
      </c>
      <c r="S237" t="s">
        <v>5759</v>
      </c>
      <c r="T237" t="s">
        <v>4276</v>
      </c>
      <c r="V237" t="s">
        <v>5767</v>
      </c>
      <c r="W237" t="s">
        <v>5772</v>
      </c>
      <c r="X237" t="s">
        <v>217</v>
      </c>
      <c r="Y237">
        <v>1550</v>
      </c>
      <c r="Z237" t="s">
        <v>5803</v>
      </c>
      <c r="AA237" t="s">
        <v>5804</v>
      </c>
      <c r="AB237" t="s">
        <v>5821</v>
      </c>
      <c r="AC237" t="s">
        <v>6059</v>
      </c>
      <c r="AE237" t="s">
        <v>7289</v>
      </c>
      <c r="AF237">
        <v>3</v>
      </c>
      <c r="AG237" t="s">
        <v>9269</v>
      </c>
      <c r="AH237" t="s">
        <v>4280</v>
      </c>
      <c r="AI237">
        <v>1</v>
      </c>
      <c r="AJ237">
        <v>3</v>
      </c>
      <c r="AK237">
        <v>0</v>
      </c>
      <c r="AL237">
        <v>34.13</v>
      </c>
      <c r="AO237" t="s">
        <v>9298</v>
      </c>
      <c r="AP237">
        <v>7280</v>
      </c>
      <c r="AV237">
        <v>2.05</v>
      </c>
      <c r="AW237" t="s">
        <v>56</v>
      </c>
    </row>
    <row r="238" spans="1:49">
      <c r="A238" s="1">
        <f>HYPERLINK("https://cms.ls-nyc.org/matter/dynamic-profile/view/1899866","19-1899866")</f>
        <v>0</v>
      </c>
      <c r="B238" t="s">
        <v>56</v>
      </c>
      <c r="C238" t="s">
        <v>82</v>
      </c>
      <c r="D238" t="s">
        <v>95</v>
      </c>
      <c r="E238" t="s">
        <v>95</v>
      </c>
      <c r="F238" t="s">
        <v>520</v>
      </c>
      <c r="G238" t="s">
        <v>1582</v>
      </c>
      <c r="H238" t="s">
        <v>2717</v>
      </c>
      <c r="J238" t="s">
        <v>4245</v>
      </c>
      <c r="K238">
        <v>11418</v>
      </c>
      <c r="L238" t="s">
        <v>4275</v>
      </c>
      <c r="M238" t="s">
        <v>4277</v>
      </c>
      <c r="N238" t="s">
        <v>4278</v>
      </c>
      <c r="O238" t="s">
        <v>4282</v>
      </c>
      <c r="P238" t="s">
        <v>4518</v>
      </c>
      <c r="Q238" t="s">
        <v>5732</v>
      </c>
      <c r="R238" t="s">
        <v>5753</v>
      </c>
      <c r="S238" t="s">
        <v>5759</v>
      </c>
      <c r="T238" t="s">
        <v>4276</v>
      </c>
      <c r="V238" t="s">
        <v>5767</v>
      </c>
      <c r="W238" t="s">
        <v>5772</v>
      </c>
      <c r="X238" t="s">
        <v>95</v>
      </c>
      <c r="Y238">
        <v>1450</v>
      </c>
      <c r="Z238" t="s">
        <v>5803</v>
      </c>
      <c r="AA238" t="s">
        <v>5804</v>
      </c>
      <c r="AB238" t="s">
        <v>5821</v>
      </c>
      <c r="AC238" t="s">
        <v>6060</v>
      </c>
      <c r="AE238" t="s">
        <v>8069</v>
      </c>
      <c r="AF238">
        <v>4</v>
      </c>
      <c r="AG238" t="s">
        <v>9269</v>
      </c>
      <c r="AH238" t="s">
        <v>4280</v>
      </c>
      <c r="AI238">
        <v>1</v>
      </c>
      <c r="AJ238">
        <v>1</v>
      </c>
      <c r="AK238">
        <v>3</v>
      </c>
      <c r="AL238">
        <v>37.28</v>
      </c>
      <c r="AO238" t="s">
        <v>1425</v>
      </c>
      <c r="AP238">
        <v>9600</v>
      </c>
      <c r="AV238">
        <v>1.65</v>
      </c>
      <c r="AW238" t="s">
        <v>54</v>
      </c>
    </row>
    <row r="239" spans="1:49">
      <c r="A239" s="1">
        <f>HYPERLINK("https://cms.ls-nyc.org/matter/dynamic-profile/view/1883392","18-1883392")</f>
        <v>0</v>
      </c>
      <c r="B239" t="s">
        <v>56</v>
      </c>
      <c r="C239" t="s">
        <v>82</v>
      </c>
      <c r="D239" t="s">
        <v>196</v>
      </c>
      <c r="E239" t="s">
        <v>93</v>
      </c>
      <c r="F239" t="s">
        <v>521</v>
      </c>
      <c r="G239" t="s">
        <v>1583</v>
      </c>
      <c r="H239" t="s">
        <v>2718</v>
      </c>
      <c r="I239" t="s">
        <v>3864</v>
      </c>
      <c r="J239" t="s">
        <v>4222</v>
      </c>
      <c r="K239">
        <v>11433</v>
      </c>
      <c r="L239" t="s">
        <v>4275</v>
      </c>
      <c r="M239" t="s">
        <v>4275</v>
      </c>
      <c r="O239" t="s">
        <v>4281</v>
      </c>
      <c r="P239" t="s">
        <v>4519</v>
      </c>
      <c r="Q239" t="s">
        <v>5732</v>
      </c>
      <c r="R239" t="s">
        <v>5751</v>
      </c>
      <c r="S239" t="s">
        <v>5762</v>
      </c>
      <c r="T239" t="s">
        <v>4276</v>
      </c>
      <c r="V239" t="s">
        <v>5767</v>
      </c>
      <c r="W239" t="s">
        <v>5772</v>
      </c>
      <c r="X239" t="s">
        <v>171</v>
      </c>
      <c r="Y239">
        <v>1400</v>
      </c>
      <c r="Z239" t="s">
        <v>5803</v>
      </c>
      <c r="AA239" t="s">
        <v>5805</v>
      </c>
      <c r="AB239" t="s">
        <v>5822</v>
      </c>
      <c r="AC239" t="s">
        <v>6061</v>
      </c>
      <c r="AD239" t="s">
        <v>7396</v>
      </c>
      <c r="AE239" t="s">
        <v>8070</v>
      </c>
      <c r="AF239">
        <v>2</v>
      </c>
      <c r="AG239" t="s">
        <v>9269</v>
      </c>
      <c r="AH239" t="s">
        <v>4280</v>
      </c>
      <c r="AI239">
        <v>3</v>
      </c>
      <c r="AJ239">
        <v>2</v>
      </c>
      <c r="AK239">
        <v>1</v>
      </c>
      <c r="AL239">
        <v>39.79</v>
      </c>
      <c r="AO239" t="s">
        <v>1425</v>
      </c>
      <c r="AP239">
        <v>8268</v>
      </c>
      <c r="AS239" t="s">
        <v>5806</v>
      </c>
      <c r="AT239" t="s">
        <v>9370</v>
      </c>
      <c r="AU239" t="s">
        <v>9431</v>
      </c>
      <c r="AV239">
        <v>6.45</v>
      </c>
      <c r="AW239" t="s">
        <v>56</v>
      </c>
    </row>
    <row r="240" spans="1:49">
      <c r="A240" s="1">
        <f>HYPERLINK("https://cms.ls-nyc.org/matter/dynamic-profile/view/1891523","19-1891523")</f>
        <v>0</v>
      </c>
      <c r="B240" t="s">
        <v>56</v>
      </c>
      <c r="C240" t="s">
        <v>82</v>
      </c>
      <c r="D240" t="s">
        <v>197</v>
      </c>
      <c r="E240" t="s">
        <v>208</v>
      </c>
      <c r="F240" t="s">
        <v>522</v>
      </c>
      <c r="G240" t="s">
        <v>796</v>
      </c>
      <c r="H240" t="s">
        <v>2719</v>
      </c>
      <c r="I240" t="s">
        <v>3870</v>
      </c>
      <c r="J240" t="s">
        <v>4249</v>
      </c>
      <c r="K240">
        <v>11429</v>
      </c>
      <c r="L240" t="s">
        <v>4275</v>
      </c>
      <c r="M240" t="s">
        <v>4275</v>
      </c>
      <c r="O240" t="s">
        <v>4282</v>
      </c>
      <c r="P240" t="s">
        <v>4520</v>
      </c>
      <c r="Q240" t="s">
        <v>5732</v>
      </c>
      <c r="R240" t="s">
        <v>5753</v>
      </c>
      <c r="S240" t="s">
        <v>5759</v>
      </c>
      <c r="T240" t="s">
        <v>4276</v>
      </c>
      <c r="V240" t="s">
        <v>5767</v>
      </c>
      <c r="W240" t="s">
        <v>5772</v>
      </c>
      <c r="X240" t="s">
        <v>165</v>
      </c>
      <c r="Y240">
        <v>1190</v>
      </c>
      <c r="Z240" t="s">
        <v>5803</v>
      </c>
      <c r="AA240" t="s">
        <v>5804</v>
      </c>
      <c r="AB240" t="s">
        <v>5821</v>
      </c>
      <c r="AC240" t="s">
        <v>6062</v>
      </c>
      <c r="AD240" t="s">
        <v>7397</v>
      </c>
      <c r="AE240" t="s">
        <v>8071</v>
      </c>
      <c r="AF240">
        <v>2</v>
      </c>
      <c r="AG240" t="s">
        <v>9269</v>
      </c>
      <c r="AH240" t="s">
        <v>4280</v>
      </c>
      <c r="AI240">
        <v>11</v>
      </c>
      <c r="AJ240">
        <v>3</v>
      </c>
      <c r="AK240">
        <v>0</v>
      </c>
      <c r="AL240">
        <v>45.01</v>
      </c>
      <c r="AO240" t="s">
        <v>1425</v>
      </c>
      <c r="AP240">
        <v>9600</v>
      </c>
      <c r="AV240">
        <v>1.25</v>
      </c>
      <c r="AW240" t="s">
        <v>56</v>
      </c>
    </row>
    <row r="241" spans="1:49">
      <c r="A241" s="1">
        <f>HYPERLINK("https://cms.ls-nyc.org/matter/dynamic-profile/view/1889543","19-1889543")</f>
        <v>0</v>
      </c>
      <c r="B241" t="s">
        <v>56</v>
      </c>
      <c r="C241" t="s">
        <v>82</v>
      </c>
      <c r="D241" t="s">
        <v>171</v>
      </c>
      <c r="E241" t="s">
        <v>197</v>
      </c>
      <c r="F241" t="s">
        <v>523</v>
      </c>
      <c r="G241" t="s">
        <v>1584</v>
      </c>
      <c r="H241" t="s">
        <v>2720</v>
      </c>
      <c r="I241" t="s">
        <v>3947</v>
      </c>
      <c r="J241" t="s">
        <v>4249</v>
      </c>
      <c r="K241">
        <v>11429</v>
      </c>
      <c r="L241" t="s">
        <v>4275</v>
      </c>
      <c r="M241" t="s">
        <v>4275</v>
      </c>
      <c r="O241" t="s">
        <v>4282</v>
      </c>
      <c r="P241" t="s">
        <v>4521</v>
      </c>
      <c r="Q241" t="s">
        <v>5732</v>
      </c>
      <c r="R241" t="s">
        <v>5753</v>
      </c>
      <c r="S241" t="s">
        <v>5759</v>
      </c>
      <c r="T241" t="s">
        <v>4276</v>
      </c>
      <c r="V241" t="s">
        <v>5767</v>
      </c>
      <c r="W241" t="s">
        <v>5772</v>
      </c>
      <c r="X241" t="s">
        <v>109</v>
      </c>
      <c r="Y241">
        <v>0</v>
      </c>
      <c r="Z241" t="s">
        <v>5803</v>
      </c>
      <c r="AA241" t="s">
        <v>5804</v>
      </c>
      <c r="AB241" t="s">
        <v>5821</v>
      </c>
      <c r="AC241" t="s">
        <v>6063</v>
      </c>
      <c r="AD241" t="s">
        <v>7398</v>
      </c>
      <c r="AE241" t="s">
        <v>8072</v>
      </c>
      <c r="AF241">
        <v>2</v>
      </c>
      <c r="AG241" t="s">
        <v>9269</v>
      </c>
      <c r="AH241" t="s">
        <v>4280</v>
      </c>
      <c r="AI241">
        <v>36</v>
      </c>
      <c r="AJ241">
        <v>1</v>
      </c>
      <c r="AK241">
        <v>0</v>
      </c>
      <c r="AL241">
        <v>48.04</v>
      </c>
      <c r="AO241" t="s">
        <v>1425</v>
      </c>
      <c r="AP241">
        <v>6000</v>
      </c>
      <c r="AV241">
        <v>1.45</v>
      </c>
      <c r="AW241" t="s">
        <v>54</v>
      </c>
    </row>
    <row r="242" spans="1:49">
      <c r="A242" s="1">
        <f>HYPERLINK("https://cms.ls-nyc.org/matter/dynamic-profile/view/1899464","19-1899464")</f>
        <v>0</v>
      </c>
      <c r="B242" t="s">
        <v>56</v>
      </c>
      <c r="C242" t="s">
        <v>82</v>
      </c>
      <c r="D242" t="s">
        <v>124</v>
      </c>
      <c r="E242" t="s">
        <v>250</v>
      </c>
      <c r="F242" t="s">
        <v>524</v>
      </c>
      <c r="G242" t="s">
        <v>1585</v>
      </c>
      <c r="H242" t="s">
        <v>2721</v>
      </c>
      <c r="I242" t="s">
        <v>3842</v>
      </c>
      <c r="J242" t="s">
        <v>4225</v>
      </c>
      <c r="K242">
        <v>11385</v>
      </c>
      <c r="L242" t="s">
        <v>4275</v>
      </c>
      <c r="M242" t="s">
        <v>4277</v>
      </c>
      <c r="N242" t="s">
        <v>4278</v>
      </c>
      <c r="O242" t="s">
        <v>4281</v>
      </c>
      <c r="P242" t="s">
        <v>4522</v>
      </c>
      <c r="Q242" t="s">
        <v>5731</v>
      </c>
      <c r="R242" t="s">
        <v>5753</v>
      </c>
      <c r="S242" t="s">
        <v>5759</v>
      </c>
      <c r="T242" t="s">
        <v>4276</v>
      </c>
      <c r="V242" t="s">
        <v>5767</v>
      </c>
      <c r="W242" t="s">
        <v>5772</v>
      </c>
      <c r="X242" t="s">
        <v>124</v>
      </c>
      <c r="Y242">
        <v>1073</v>
      </c>
      <c r="Z242" t="s">
        <v>5803</v>
      </c>
      <c r="AA242" t="s">
        <v>5805</v>
      </c>
      <c r="AB242" t="s">
        <v>5821</v>
      </c>
      <c r="AC242" t="s">
        <v>6064</v>
      </c>
      <c r="AE242" t="s">
        <v>8073</v>
      </c>
      <c r="AF242">
        <v>6</v>
      </c>
      <c r="AG242" t="s">
        <v>9272</v>
      </c>
      <c r="AH242" t="s">
        <v>4280</v>
      </c>
      <c r="AI242">
        <v>18</v>
      </c>
      <c r="AJ242">
        <v>1</v>
      </c>
      <c r="AK242">
        <v>1</v>
      </c>
      <c r="AL242">
        <v>48.97</v>
      </c>
      <c r="AO242" t="s">
        <v>9310</v>
      </c>
      <c r="AP242">
        <v>8280</v>
      </c>
      <c r="AV242">
        <v>2.4</v>
      </c>
      <c r="AW242" t="s">
        <v>54</v>
      </c>
    </row>
    <row r="243" spans="1:49">
      <c r="A243" s="1">
        <f>HYPERLINK("https://cms.ls-nyc.org/matter/dynamic-profile/view/1876565","18-1876565")</f>
        <v>0</v>
      </c>
      <c r="B243" t="s">
        <v>56</v>
      </c>
      <c r="C243" t="s">
        <v>82</v>
      </c>
      <c r="D243" t="s">
        <v>178</v>
      </c>
      <c r="E243" t="s">
        <v>181</v>
      </c>
      <c r="F243" t="s">
        <v>525</v>
      </c>
      <c r="G243" t="s">
        <v>424</v>
      </c>
      <c r="H243" t="s">
        <v>2722</v>
      </c>
      <c r="I243" t="s">
        <v>3863</v>
      </c>
      <c r="J243" t="s">
        <v>4222</v>
      </c>
      <c r="K243">
        <v>11435</v>
      </c>
      <c r="L243" t="s">
        <v>4275</v>
      </c>
      <c r="M243" t="s">
        <v>4275</v>
      </c>
      <c r="O243" t="s">
        <v>4282</v>
      </c>
      <c r="P243" t="s">
        <v>4523</v>
      </c>
      <c r="Q243" t="s">
        <v>5731</v>
      </c>
      <c r="R243" t="s">
        <v>5753</v>
      </c>
      <c r="S243" t="s">
        <v>5759</v>
      </c>
      <c r="T243" t="s">
        <v>4276</v>
      </c>
      <c r="V243" t="s">
        <v>5767</v>
      </c>
      <c r="W243" t="s">
        <v>5771</v>
      </c>
      <c r="X243" t="s">
        <v>178</v>
      </c>
      <c r="Y243">
        <v>956.66</v>
      </c>
      <c r="Z243" t="s">
        <v>5803</v>
      </c>
      <c r="AA243" t="s">
        <v>5804</v>
      </c>
      <c r="AB243" t="s">
        <v>5821</v>
      </c>
      <c r="AC243" t="s">
        <v>6065</v>
      </c>
      <c r="AD243" t="s">
        <v>7399</v>
      </c>
      <c r="AE243" t="s">
        <v>8074</v>
      </c>
      <c r="AF243">
        <v>16</v>
      </c>
      <c r="AG243" t="s">
        <v>9272</v>
      </c>
      <c r="AH243" t="s">
        <v>4280</v>
      </c>
      <c r="AI243">
        <v>40</v>
      </c>
      <c r="AJ243">
        <v>3</v>
      </c>
      <c r="AK243">
        <v>2</v>
      </c>
      <c r="AL243">
        <v>51.53</v>
      </c>
      <c r="AO243" t="s">
        <v>1425</v>
      </c>
      <c r="AP243">
        <v>15160</v>
      </c>
      <c r="AV243">
        <v>1.35</v>
      </c>
      <c r="AW243" t="s">
        <v>73</v>
      </c>
    </row>
    <row r="244" spans="1:49">
      <c r="A244" s="1">
        <f>HYPERLINK("https://cms.ls-nyc.org/matter/dynamic-profile/view/1884871","18-1884871")</f>
        <v>0</v>
      </c>
      <c r="B244" t="s">
        <v>56</v>
      </c>
      <c r="C244" t="s">
        <v>83</v>
      </c>
      <c r="D244" t="s">
        <v>108</v>
      </c>
      <c r="F244" t="s">
        <v>526</v>
      </c>
      <c r="G244" t="s">
        <v>1586</v>
      </c>
      <c r="H244" t="s">
        <v>2723</v>
      </c>
      <c r="I244" t="s">
        <v>3884</v>
      </c>
      <c r="J244" t="s">
        <v>4222</v>
      </c>
      <c r="K244">
        <v>11433</v>
      </c>
      <c r="L244" t="s">
        <v>4275</v>
      </c>
      <c r="M244" t="s">
        <v>4275</v>
      </c>
      <c r="N244" t="s">
        <v>4278</v>
      </c>
      <c r="O244" t="s">
        <v>4281</v>
      </c>
      <c r="P244" t="s">
        <v>4524</v>
      </c>
      <c r="Q244" t="s">
        <v>5732</v>
      </c>
      <c r="R244" t="s">
        <v>5751</v>
      </c>
      <c r="T244" t="s">
        <v>4276</v>
      </c>
      <c r="V244" t="s">
        <v>5767</v>
      </c>
      <c r="W244" t="s">
        <v>5774</v>
      </c>
      <c r="X244" t="s">
        <v>152</v>
      </c>
      <c r="Y244">
        <v>251</v>
      </c>
      <c r="Z244" t="s">
        <v>5803</v>
      </c>
      <c r="AA244" t="s">
        <v>5807</v>
      </c>
      <c r="AC244" t="s">
        <v>6066</v>
      </c>
      <c r="AE244" t="s">
        <v>8075</v>
      </c>
      <c r="AF244">
        <v>12</v>
      </c>
      <c r="AG244" t="s">
        <v>9271</v>
      </c>
      <c r="AH244" t="s">
        <v>4280</v>
      </c>
      <c r="AI244">
        <v>12</v>
      </c>
      <c r="AJ244">
        <v>1</v>
      </c>
      <c r="AK244">
        <v>0</v>
      </c>
      <c r="AL244">
        <v>52.26</v>
      </c>
      <c r="AO244" t="s">
        <v>1425</v>
      </c>
      <c r="AP244">
        <v>6344</v>
      </c>
      <c r="AV244">
        <v>11.75</v>
      </c>
      <c r="AW244" t="s">
        <v>60</v>
      </c>
    </row>
    <row r="245" spans="1:49">
      <c r="A245" s="1">
        <f>HYPERLINK("https://cms.ls-nyc.org/matter/dynamic-profile/view/1878632","18-1878632")</f>
        <v>0</v>
      </c>
      <c r="B245" t="s">
        <v>56</v>
      </c>
      <c r="C245" t="s">
        <v>82</v>
      </c>
      <c r="D245" t="s">
        <v>147</v>
      </c>
      <c r="E245" t="s">
        <v>170</v>
      </c>
      <c r="F245" t="s">
        <v>527</v>
      </c>
      <c r="G245" t="s">
        <v>1587</v>
      </c>
      <c r="H245" t="s">
        <v>2724</v>
      </c>
      <c r="I245" t="s">
        <v>3948</v>
      </c>
      <c r="J245" t="s">
        <v>4223</v>
      </c>
      <c r="K245">
        <v>11423</v>
      </c>
      <c r="L245" t="s">
        <v>4275</v>
      </c>
      <c r="M245" t="s">
        <v>4275</v>
      </c>
      <c r="O245" t="s">
        <v>4282</v>
      </c>
      <c r="P245" t="s">
        <v>4525</v>
      </c>
      <c r="Q245" t="s">
        <v>5732</v>
      </c>
      <c r="R245" t="s">
        <v>5754</v>
      </c>
      <c r="S245" t="s">
        <v>5763</v>
      </c>
      <c r="T245" t="s">
        <v>4276</v>
      </c>
      <c r="V245" t="s">
        <v>5767</v>
      </c>
      <c r="W245" t="s">
        <v>5772</v>
      </c>
      <c r="X245" t="s">
        <v>170</v>
      </c>
      <c r="Y245">
        <v>703.33</v>
      </c>
      <c r="Z245" t="s">
        <v>5803</v>
      </c>
      <c r="AA245" t="s">
        <v>5804</v>
      </c>
      <c r="AB245" t="s">
        <v>5821</v>
      </c>
      <c r="AC245" t="s">
        <v>6067</v>
      </c>
      <c r="AE245" t="s">
        <v>8076</v>
      </c>
      <c r="AF245">
        <v>50</v>
      </c>
      <c r="AG245" t="s">
        <v>9272</v>
      </c>
      <c r="AH245" t="s">
        <v>4280</v>
      </c>
      <c r="AI245">
        <v>16</v>
      </c>
      <c r="AJ245">
        <v>4</v>
      </c>
      <c r="AK245">
        <v>1</v>
      </c>
      <c r="AL245">
        <v>54</v>
      </c>
      <c r="AO245" t="s">
        <v>1425</v>
      </c>
      <c r="AP245">
        <v>15888</v>
      </c>
      <c r="AV245">
        <v>7.3</v>
      </c>
      <c r="AW245" t="s">
        <v>74</v>
      </c>
    </row>
    <row r="246" spans="1:49">
      <c r="A246" s="1">
        <f>HYPERLINK("https://cms.ls-nyc.org/matter/dynamic-profile/view/1881194","18-1881194")</f>
        <v>0</v>
      </c>
      <c r="B246" t="s">
        <v>56</v>
      </c>
      <c r="C246" t="s">
        <v>82</v>
      </c>
      <c r="D246" t="s">
        <v>140</v>
      </c>
      <c r="E246" t="s">
        <v>280</v>
      </c>
      <c r="F246" t="s">
        <v>528</v>
      </c>
      <c r="G246" t="s">
        <v>1588</v>
      </c>
      <c r="H246" t="s">
        <v>2725</v>
      </c>
      <c r="I246" t="s">
        <v>3894</v>
      </c>
      <c r="J246" t="s">
        <v>4243</v>
      </c>
      <c r="K246">
        <v>11691</v>
      </c>
      <c r="L246" t="s">
        <v>4275</v>
      </c>
      <c r="M246" t="s">
        <v>4275</v>
      </c>
      <c r="O246" t="s">
        <v>4283</v>
      </c>
      <c r="P246" t="s">
        <v>4526</v>
      </c>
      <c r="Q246" t="s">
        <v>5731</v>
      </c>
      <c r="R246" t="s">
        <v>5753</v>
      </c>
      <c r="S246" t="s">
        <v>5759</v>
      </c>
      <c r="T246" t="s">
        <v>4276</v>
      </c>
      <c r="V246" t="s">
        <v>5767</v>
      </c>
      <c r="W246" t="s">
        <v>5772</v>
      </c>
      <c r="X246" t="s">
        <v>280</v>
      </c>
      <c r="Y246">
        <v>1956</v>
      </c>
      <c r="Z246" t="s">
        <v>5803</v>
      </c>
      <c r="AA246" t="s">
        <v>5804</v>
      </c>
      <c r="AB246" t="s">
        <v>5821</v>
      </c>
      <c r="AC246" t="s">
        <v>6068</v>
      </c>
      <c r="AD246" t="s">
        <v>7400</v>
      </c>
      <c r="AE246" t="s">
        <v>8077</v>
      </c>
      <c r="AF246">
        <v>20</v>
      </c>
      <c r="AG246" t="s">
        <v>9272</v>
      </c>
      <c r="AH246" t="s">
        <v>9286</v>
      </c>
      <c r="AI246">
        <v>1</v>
      </c>
      <c r="AJ246">
        <v>1</v>
      </c>
      <c r="AK246">
        <v>5</v>
      </c>
      <c r="AL246">
        <v>56.31</v>
      </c>
      <c r="AO246" t="s">
        <v>1425</v>
      </c>
      <c r="AP246">
        <v>19000</v>
      </c>
      <c r="AV246">
        <v>1.95</v>
      </c>
      <c r="AW246" t="s">
        <v>54</v>
      </c>
    </row>
    <row r="247" spans="1:49">
      <c r="A247" s="1">
        <f>HYPERLINK("https://cms.ls-nyc.org/matter/dynamic-profile/view/1888434","19-1888434")</f>
        <v>0</v>
      </c>
      <c r="B247" t="s">
        <v>56</v>
      </c>
      <c r="C247" t="s">
        <v>82</v>
      </c>
      <c r="D247" t="s">
        <v>198</v>
      </c>
      <c r="E247" t="s">
        <v>93</v>
      </c>
      <c r="F247" t="s">
        <v>483</v>
      </c>
      <c r="G247" t="s">
        <v>1589</v>
      </c>
      <c r="H247" t="s">
        <v>2726</v>
      </c>
      <c r="I247" t="s">
        <v>3861</v>
      </c>
      <c r="J247" t="s">
        <v>4222</v>
      </c>
      <c r="K247">
        <v>11433</v>
      </c>
      <c r="L247" t="s">
        <v>4275</v>
      </c>
      <c r="M247" t="s">
        <v>4275</v>
      </c>
      <c r="O247" t="s">
        <v>4281</v>
      </c>
      <c r="P247" t="s">
        <v>4527</v>
      </c>
      <c r="Q247" t="s">
        <v>5731</v>
      </c>
      <c r="R247" t="s">
        <v>5751</v>
      </c>
      <c r="S247" t="s">
        <v>5762</v>
      </c>
      <c r="T247" t="s">
        <v>4276</v>
      </c>
      <c r="V247" t="s">
        <v>5768</v>
      </c>
      <c r="W247" t="s">
        <v>5774</v>
      </c>
      <c r="X247" t="s">
        <v>273</v>
      </c>
      <c r="Y247">
        <v>866</v>
      </c>
      <c r="Z247" t="s">
        <v>5803</v>
      </c>
      <c r="AA247" t="s">
        <v>5805</v>
      </c>
      <c r="AB247" t="s">
        <v>5823</v>
      </c>
      <c r="AC247" t="s">
        <v>6069</v>
      </c>
      <c r="AE247" t="s">
        <v>8078</v>
      </c>
      <c r="AF247">
        <v>144</v>
      </c>
      <c r="AG247" t="s">
        <v>9271</v>
      </c>
      <c r="AH247" t="s">
        <v>4280</v>
      </c>
      <c r="AI247">
        <v>5</v>
      </c>
      <c r="AJ247">
        <v>3</v>
      </c>
      <c r="AK247">
        <v>1</v>
      </c>
      <c r="AL247">
        <v>59.76</v>
      </c>
      <c r="AO247" t="s">
        <v>1425</v>
      </c>
      <c r="AP247">
        <v>15000</v>
      </c>
      <c r="AS247" t="s">
        <v>9336</v>
      </c>
      <c r="AT247" t="s">
        <v>9369</v>
      </c>
      <c r="AU247" t="s">
        <v>9432</v>
      </c>
      <c r="AV247">
        <v>4.35</v>
      </c>
      <c r="AW247" t="s">
        <v>56</v>
      </c>
    </row>
    <row r="248" spans="1:49">
      <c r="A248" s="1">
        <f>HYPERLINK("https://cms.ls-nyc.org/matter/dynamic-profile/view/1890937","19-1890937")</f>
        <v>0</v>
      </c>
      <c r="B248" t="s">
        <v>56</v>
      </c>
      <c r="C248" t="s">
        <v>82</v>
      </c>
      <c r="D248" t="s">
        <v>98</v>
      </c>
      <c r="E248" t="s">
        <v>93</v>
      </c>
      <c r="F248" t="s">
        <v>529</v>
      </c>
      <c r="G248" t="s">
        <v>1590</v>
      </c>
      <c r="H248" t="s">
        <v>2727</v>
      </c>
      <c r="I248" t="s">
        <v>3949</v>
      </c>
      <c r="J248" t="s">
        <v>4222</v>
      </c>
      <c r="K248">
        <v>11435</v>
      </c>
      <c r="L248" t="s">
        <v>4275</v>
      </c>
      <c r="M248" t="s">
        <v>4275</v>
      </c>
      <c r="O248" t="s">
        <v>4282</v>
      </c>
      <c r="P248" t="s">
        <v>4528</v>
      </c>
      <c r="Q248" t="s">
        <v>5731</v>
      </c>
      <c r="R248" t="s">
        <v>5751</v>
      </c>
      <c r="S248" t="s">
        <v>5758</v>
      </c>
      <c r="T248" t="s">
        <v>4276</v>
      </c>
      <c r="V248" t="s">
        <v>5767</v>
      </c>
      <c r="W248" t="s">
        <v>5775</v>
      </c>
      <c r="X248" t="s">
        <v>98</v>
      </c>
      <c r="Y248">
        <v>1534</v>
      </c>
      <c r="Z248" t="s">
        <v>5803</v>
      </c>
      <c r="AA248" t="s">
        <v>5804</v>
      </c>
      <c r="AB248" t="s">
        <v>5824</v>
      </c>
      <c r="AC248" t="s">
        <v>6070</v>
      </c>
      <c r="AD248" t="s">
        <v>7401</v>
      </c>
      <c r="AE248" t="s">
        <v>8079</v>
      </c>
      <c r="AF248">
        <v>24</v>
      </c>
      <c r="AG248" t="s">
        <v>9272</v>
      </c>
      <c r="AH248" t="s">
        <v>9286</v>
      </c>
      <c r="AI248">
        <v>2</v>
      </c>
      <c r="AJ248">
        <v>2</v>
      </c>
      <c r="AK248">
        <v>3</v>
      </c>
      <c r="AL248">
        <v>60.32</v>
      </c>
      <c r="AO248" t="s">
        <v>9311</v>
      </c>
      <c r="AP248">
        <v>18200</v>
      </c>
      <c r="AR248" t="s">
        <v>9326</v>
      </c>
      <c r="AS248" t="s">
        <v>5806</v>
      </c>
      <c r="AT248" t="s">
        <v>9370</v>
      </c>
      <c r="AU248" t="s">
        <v>9432</v>
      </c>
      <c r="AV248">
        <v>54.25</v>
      </c>
      <c r="AW248" t="s">
        <v>54</v>
      </c>
    </row>
    <row r="249" spans="1:49">
      <c r="A249" s="1">
        <f>HYPERLINK("https://cms.ls-nyc.org/matter/dynamic-profile/view/1897962","19-1897962")</f>
        <v>0</v>
      </c>
      <c r="B249" t="s">
        <v>56</v>
      </c>
      <c r="C249" t="s">
        <v>82</v>
      </c>
      <c r="D249" t="s">
        <v>123</v>
      </c>
      <c r="E249" t="s">
        <v>97</v>
      </c>
      <c r="F249" t="s">
        <v>422</v>
      </c>
      <c r="G249" t="s">
        <v>1591</v>
      </c>
      <c r="H249" t="s">
        <v>2728</v>
      </c>
      <c r="J249" t="s">
        <v>4245</v>
      </c>
      <c r="K249">
        <v>11418</v>
      </c>
      <c r="L249" t="s">
        <v>4275</v>
      </c>
      <c r="M249" t="s">
        <v>4275</v>
      </c>
      <c r="N249" t="s">
        <v>4278</v>
      </c>
      <c r="O249" t="s">
        <v>4282</v>
      </c>
      <c r="P249" t="s">
        <v>4337</v>
      </c>
      <c r="Q249" t="s">
        <v>5732</v>
      </c>
      <c r="R249" t="s">
        <v>5753</v>
      </c>
      <c r="S249" t="s">
        <v>5759</v>
      </c>
      <c r="T249" t="s">
        <v>4276</v>
      </c>
      <c r="V249" t="s">
        <v>5767</v>
      </c>
      <c r="W249" t="s">
        <v>5772</v>
      </c>
      <c r="X249" t="s">
        <v>91</v>
      </c>
      <c r="Y249">
        <v>400</v>
      </c>
      <c r="Z249" t="s">
        <v>5803</v>
      </c>
      <c r="AA249" t="s">
        <v>5804</v>
      </c>
      <c r="AB249" t="s">
        <v>5821</v>
      </c>
      <c r="AC249" t="s">
        <v>6071</v>
      </c>
      <c r="AE249" t="s">
        <v>8080</v>
      </c>
      <c r="AF249">
        <v>3</v>
      </c>
      <c r="AG249" t="s">
        <v>9269</v>
      </c>
      <c r="AH249" t="s">
        <v>4280</v>
      </c>
      <c r="AI249">
        <v>1</v>
      </c>
      <c r="AJ249">
        <v>1</v>
      </c>
      <c r="AK249">
        <v>1</v>
      </c>
      <c r="AL249">
        <v>60.82</v>
      </c>
      <c r="AO249" t="s">
        <v>1425</v>
      </c>
      <c r="AP249">
        <v>10284</v>
      </c>
      <c r="AV249">
        <v>1.95</v>
      </c>
      <c r="AW249" t="s">
        <v>56</v>
      </c>
    </row>
    <row r="250" spans="1:49">
      <c r="A250" s="1">
        <f>HYPERLINK("https://cms.ls-nyc.org/matter/dynamic-profile/view/1881199","18-1881199")</f>
        <v>0</v>
      </c>
      <c r="B250" t="s">
        <v>56</v>
      </c>
      <c r="C250" t="s">
        <v>82</v>
      </c>
      <c r="D250" t="s">
        <v>140</v>
      </c>
      <c r="E250" t="s">
        <v>149</v>
      </c>
      <c r="F250" t="s">
        <v>530</v>
      </c>
      <c r="G250" t="s">
        <v>1592</v>
      </c>
      <c r="H250" t="s">
        <v>2729</v>
      </c>
      <c r="I250" t="s">
        <v>3950</v>
      </c>
      <c r="J250" t="s">
        <v>4222</v>
      </c>
      <c r="K250">
        <v>11435</v>
      </c>
      <c r="L250" t="s">
        <v>4275</v>
      </c>
      <c r="M250" t="s">
        <v>4275</v>
      </c>
      <c r="O250" t="s">
        <v>4282</v>
      </c>
      <c r="P250" t="s">
        <v>4529</v>
      </c>
      <c r="Q250" t="s">
        <v>5732</v>
      </c>
      <c r="R250" t="s">
        <v>5753</v>
      </c>
      <c r="S250" t="s">
        <v>5759</v>
      </c>
      <c r="T250" t="s">
        <v>4276</v>
      </c>
      <c r="V250" t="s">
        <v>5767</v>
      </c>
      <c r="W250" t="s">
        <v>5772</v>
      </c>
      <c r="X250" t="s">
        <v>130</v>
      </c>
      <c r="Y250">
        <v>1500</v>
      </c>
      <c r="Z250" t="s">
        <v>5803</v>
      </c>
      <c r="AA250" t="s">
        <v>5804</v>
      </c>
      <c r="AB250" t="s">
        <v>5821</v>
      </c>
      <c r="AC250" t="s">
        <v>6072</v>
      </c>
      <c r="AD250" t="s">
        <v>7402</v>
      </c>
      <c r="AE250" t="s">
        <v>8081</v>
      </c>
      <c r="AF250">
        <v>2</v>
      </c>
      <c r="AG250" t="s">
        <v>9270</v>
      </c>
      <c r="AH250" t="s">
        <v>4280</v>
      </c>
      <c r="AI250">
        <v>1</v>
      </c>
      <c r="AJ250">
        <v>3</v>
      </c>
      <c r="AK250">
        <v>3</v>
      </c>
      <c r="AL250">
        <v>62.24</v>
      </c>
      <c r="AO250" t="s">
        <v>1425</v>
      </c>
      <c r="AP250">
        <v>21000</v>
      </c>
      <c r="AV250">
        <v>1.25</v>
      </c>
      <c r="AW250" t="s">
        <v>54</v>
      </c>
    </row>
    <row r="251" spans="1:49">
      <c r="A251" s="1">
        <f>HYPERLINK("https://cms.ls-nyc.org/matter/dynamic-profile/view/1899817","19-1899817")</f>
        <v>0</v>
      </c>
      <c r="B251" t="s">
        <v>56</v>
      </c>
      <c r="C251" t="s">
        <v>83</v>
      </c>
      <c r="D251" t="s">
        <v>95</v>
      </c>
      <c r="F251" t="s">
        <v>531</v>
      </c>
      <c r="G251" t="s">
        <v>1593</v>
      </c>
      <c r="H251" t="s">
        <v>2730</v>
      </c>
      <c r="I251">
        <v>2</v>
      </c>
      <c r="J251" t="s">
        <v>4258</v>
      </c>
      <c r="K251">
        <v>11370</v>
      </c>
      <c r="L251" t="s">
        <v>4275</v>
      </c>
      <c r="M251" t="s">
        <v>4277</v>
      </c>
      <c r="N251" t="s">
        <v>4278</v>
      </c>
      <c r="O251" t="s">
        <v>4282</v>
      </c>
      <c r="P251" t="s">
        <v>4530</v>
      </c>
      <c r="Q251" t="s">
        <v>5732</v>
      </c>
      <c r="R251" t="s">
        <v>5751</v>
      </c>
      <c r="T251" t="s">
        <v>4276</v>
      </c>
      <c r="V251" t="s">
        <v>5767</v>
      </c>
      <c r="W251" t="s">
        <v>5772</v>
      </c>
      <c r="X251" t="s">
        <v>298</v>
      </c>
      <c r="Y251">
        <v>2000</v>
      </c>
      <c r="Z251" t="s">
        <v>5803</v>
      </c>
      <c r="AA251" t="s">
        <v>5804</v>
      </c>
      <c r="AC251" t="s">
        <v>6073</v>
      </c>
      <c r="AE251" t="s">
        <v>8082</v>
      </c>
      <c r="AF251">
        <v>3</v>
      </c>
      <c r="AG251" t="s">
        <v>9269</v>
      </c>
      <c r="AH251" t="s">
        <v>4280</v>
      </c>
      <c r="AI251">
        <v>10</v>
      </c>
      <c r="AJ251">
        <v>4</v>
      </c>
      <c r="AK251">
        <v>4</v>
      </c>
      <c r="AL251">
        <v>65.84999999999999</v>
      </c>
      <c r="AO251" t="s">
        <v>1425</v>
      </c>
      <c r="AP251">
        <v>28600</v>
      </c>
      <c r="AR251" t="s">
        <v>9329</v>
      </c>
      <c r="AS251" t="s">
        <v>9336</v>
      </c>
      <c r="AT251" t="s">
        <v>9369</v>
      </c>
      <c r="AU251" t="s">
        <v>9433</v>
      </c>
      <c r="AV251">
        <v>9.800000000000001</v>
      </c>
      <c r="AW251" t="s">
        <v>54</v>
      </c>
    </row>
    <row r="252" spans="1:49">
      <c r="A252" s="1">
        <f>HYPERLINK("https://cms.ls-nyc.org/matter/dynamic-profile/view/1877202","18-1877202")</f>
        <v>0</v>
      </c>
      <c r="B252" t="s">
        <v>56</v>
      </c>
      <c r="C252" t="s">
        <v>82</v>
      </c>
      <c r="D252" t="s">
        <v>199</v>
      </c>
      <c r="E252" t="s">
        <v>199</v>
      </c>
      <c r="F252" t="s">
        <v>532</v>
      </c>
      <c r="G252" t="s">
        <v>1594</v>
      </c>
      <c r="H252" t="s">
        <v>2731</v>
      </c>
      <c r="I252" t="s">
        <v>3901</v>
      </c>
      <c r="J252" t="s">
        <v>4222</v>
      </c>
      <c r="K252">
        <v>11432</v>
      </c>
      <c r="L252" t="s">
        <v>4275</v>
      </c>
      <c r="M252" t="s">
        <v>4275</v>
      </c>
      <c r="O252" t="s">
        <v>4282</v>
      </c>
      <c r="P252" t="s">
        <v>4531</v>
      </c>
      <c r="Q252" t="s">
        <v>5732</v>
      </c>
      <c r="R252" t="s">
        <v>5753</v>
      </c>
      <c r="S252" t="s">
        <v>5759</v>
      </c>
      <c r="T252" t="s">
        <v>4276</v>
      </c>
      <c r="V252" t="s">
        <v>5767</v>
      </c>
      <c r="W252" t="s">
        <v>5772</v>
      </c>
      <c r="X252" t="s">
        <v>199</v>
      </c>
      <c r="Y252">
        <v>903</v>
      </c>
      <c r="Z252" t="s">
        <v>5803</v>
      </c>
      <c r="AA252" t="s">
        <v>5807</v>
      </c>
      <c r="AB252" t="s">
        <v>5821</v>
      </c>
      <c r="AC252" t="s">
        <v>6074</v>
      </c>
      <c r="AD252" t="s">
        <v>7403</v>
      </c>
      <c r="AE252" t="s">
        <v>8083</v>
      </c>
      <c r="AF252">
        <v>33</v>
      </c>
      <c r="AG252" t="s">
        <v>9272</v>
      </c>
      <c r="AH252" t="s">
        <v>9287</v>
      </c>
      <c r="AI252">
        <v>39</v>
      </c>
      <c r="AJ252">
        <v>2</v>
      </c>
      <c r="AK252">
        <v>0</v>
      </c>
      <c r="AL252">
        <v>66.70999999999999</v>
      </c>
      <c r="AO252" t="s">
        <v>1425</v>
      </c>
      <c r="AP252">
        <v>10980</v>
      </c>
      <c r="AV252">
        <v>1.65</v>
      </c>
      <c r="AW252" t="s">
        <v>73</v>
      </c>
    </row>
    <row r="253" spans="1:49">
      <c r="A253" s="1">
        <f>HYPERLINK("https://cms.ls-nyc.org/matter/dynamic-profile/view/1888592","19-1888592")</f>
        <v>0</v>
      </c>
      <c r="B253" t="s">
        <v>56</v>
      </c>
      <c r="C253" t="s">
        <v>82</v>
      </c>
      <c r="D253" t="s">
        <v>125</v>
      </c>
      <c r="E253" t="s">
        <v>236</v>
      </c>
      <c r="F253" t="s">
        <v>533</v>
      </c>
      <c r="G253" t="s">
        <v>1595</v>
      </c>
      <c r="H253" t="s">
        <v>2732</v>
      </c>
      <c r="I253" t="s">
        <v>3951</v>
      </c>
      <c r="J253" t="s">
        <v>4255</v>
      </c>
      <c r="K253">
        <v>11372</v>
      </c>
      <c r="L253" t="s">
        <v>4275</v>
      </c>
      <c r="M253" t="s">
        <v>4275</v>
      </c>
      <c r="O253" t="s">
        <v>4282</v>
      </c>
      <c r="P253" t="s">
        <v>4532</v>
      </c>
      <c r="Q253" t="s">
        <v>5732</v>
      </c>
      <c r="R253" t="s">
        <v>5753</v>
      </c>
      <c r="S253" t="s">
        <v>5759</v>
      </c>
      <c r="T253" t="s">
        <v>4276</v>
      </c>
      <c r="V253" t="s">
        <v>5767</v>
      </c>
      <c r="W253" t="s">
        <v>5772</v>
      </c>
      <c r="X253" t="s">
        <v>88</v>
      </c>
      <c r="Y253">
        <v>0</v>
      </c>
      <c r="Z253" t="s">
        <v>5803</v>
      </c>
      <c r="AA253" t="s">
        <v>5804</v>
      </c>
      <c r="AB253" t="s">
        <v>5821</v>
      </c>
      <c r="AC253" t="s">
        <v>6075</v>
      </c>
      <c r="AE253" t="s">
        <v>8084</v>
      </c>
      <c r="AF253">
        <v>120</v>
      </c>
      <c r="AG253" t="s">
        <v>9275</v>
      </c>
      <c r="AH253" t="s">
        <v>4280</v>
      </c>
      <c r="AI253">
        <v>7</v>
      </c>
      <c r="AJ253">
        <v>1</v>
      </c>
      <c r="AK253">
        <v>0</v>
      </c>
      <c r="AL253">
        <v>67.45</v>
      </c>
      <c r="AO253" t="s">
        <v>1425</v>
      </c>
      <c r="AP253">
        <v>8424</v>
      </c>
      <c r="AV253">
        <v>0.75</v>
      </c>
      <c r="AW253" t="s">
        <v>73</v>
      </c>
    </row>
    <row r="254" spans="1:49">
      <c r="A254" s="1">
        <f>HYPERLINK("https://cms.ls-nyc.org/matter/dynamic-profile/view/1878106","18-1878106")</f>
        <v>0</v>
      </c>
      <c r="B254" t="s">
        <v>56</v>
      </c>
      <c r="C254" t="s">
        <v>82</v>
      </c>
      <c r="D254" t="s">
        <v>188</v>
      </c>
      <c r="E254" t="s">
        <v>243</v>
      </c>
      <c r="F254" t="s">
        <v>534</v>
      </c>
      <c r="G254" t="s">
        <v>1596</v>
      </c>
      <c r="H254" t="s">
        <v>2733</v>
      </c>
      <c r="I254" t="s">
        <v>3952</v>
      </c>
      <c r="J254" t="s">
        <v>4222</v>
      </c>
      <c r="K254">
        <v>11433</v>
      </c>
      <c r="L254" t="s">
        <v>4275</v>
      </c>
      <c r="M254" t="s">
        <v>4275</v>
      </c>
      <c r="O254" t="s">
        <v>4281</v>
      </c>
      <c r="P254" t="s">
        <v>4533</v>
      </c>
      <c r="Q254" t="s">
        <v>5732</v>
      </c>
      <c r="R254" t="s">
        <v>5753</v>
      </c>
      <c r="S254" t="s">
        <v>5759</v>
      </c>
      <c r="T254" t="s">
        <v>4276</v>
      </c>
      <c r="V254" t="s">
        <v>5767</v>
      </c>
      <c r="W254" t="s">
        <v>5772</v>
      </c>
      <c r="X254" t="s">
        <v>215</v>
      </c>
      <c r="Y254">
        <v>0</v>
      </c>
      <c r="Z254" t="s">
        <v>5803</v>
      </c>
      <c r="AA254" t="s">
        <v>5805</v>
      </c>
      <c r="AB254" t="s">
        <v>5821</v>
      </c>
      <c r="AC254" t="s">
        <v>5950</v>
      </c>
      <c r="AE254" t="s">
        <v>8085</v>
      </c>
      <c r="AF254">
        <v>3</v>
      </c>
      <c r="AG254" t="s">
        <v>9269</v>
      </c>
      <c r="AH254" t="s">
        <v>4280</v>
      </c>
      <c r="AI254">
        <v>18</v>
      </c>
      <c r="AJ254">
        <v>2</v>
      </c>
      <c r="AK254">
        <v>0</v>
      </c>
      <c r="AL254">
        <v>71.70999999999999</v>
      </c>
      <c r="AO254" t="s">
        <v>1425</v>
      </c>
      <c r="AP254">
        <v>11804</v>
      </c>
      <c r="AV254">
        <v>1.85</v>
      </c>
      <c r="AW254" t="s">
        <v>60</v>
      </c>
    </row>
    <row r="255" spans="1:49">
      <c r="A255" s="1">
        <f>HYPERLINK("https://cms.ls-nyc.org/matter/dynamic-profile/view/1894715","19-1894715")</f>
        <v>0</v>
      </c>
      <c r="B255" t="s">
        <v>56</v>
      </c>
      <c r="C255" t="s">
        <v>82</v>
      </c>
      <c r="D255" t="s">
        <v>200</v>
      </c>
      <c r="E255" t="s">
        <v>93</v>
      </c>
      <c r="F255" t="s">
        <v>535</v>
      </c>
      <c r="G255" t="s">
        <v>1486</v>
      </c>
      <c r="H255" t="s">
        <v>2734</v>
      </c>
      <c r="I255" t="s">
        <v>3953</v>
      </c>
      <c r="J255" t="s">
        <v>4222</v>
      </c>
      <c r="K255">
        <v>11434</v>
      </c>
      <c r="L255" t="s">
        <v>4275</v>
      </c>
      <c r="M255" t="s">
        <v>4275</v>
      </c>
      <c r="O255" t="s">
        <v>4281</v>
      </c>
      <c r="P255" t="s">
        <v>4534</v>
      </c>
      <c r="Q255" t="s">
        <v>5731</v>
      </c>
      <c r="R255" t="s">
        <v>5751</v>
      </c>
      <c r="S255" t="s">
        <v>5762</v>
      </c>
      <c r="T255" t="s">
        <v>4276</v>
      </c>
      <c r="V255" t="s">
        <v>5767</v>
      </c>
      <c r="W255" t="s">
        <v>5772</v>
      </c>
      <c r="X255" t="s">
        <v>200</v>
      </c>
      <c r="Y255">
        <v>1200</v>
      </c>
      <c r="Z255" t="s">
        <v>5803</v>
      </c>
      <c r="AA255" t="s">
        <v>5805</v>
      </c>
      <c r="AB255" t="s">
        <v>5820</v>
      </c>
      <c r="AC255" t="s">
        <v>6076</v>
      </c>
      <c r="AE255" t="s">
        <v>8086</v>
      </c>
      <c r="AF255">
        <v>64</v>
      </c>
      <c r="AG255" t="s">
        <v>9279</v>
      </c>
      <c r="AH255" t="s">
        <v>4280</v>
      </c>
      <c r="AI255">
        <v>37</v>
      </c>
      <c r="AJ255">
        <v>1</v>
      </c>
      <c r="AK255">
        <v>0</v>
      </c>
      <c r="AL255">
        <v>72.06</v>
      </c>
      <c r="AO255" t="s">
        <v>1425</v>
      </c>
      <c r="AP255">
        <v>9000</v>
      </c>
      <c r="AS255" t="s">
        <v>9336</v>
      </c>
      <c r="AT255" t="s">
        <v>9369</v>
      </c>
      <c r="AU255" t="s">
        <v>9434</v>
      </c>
      <c r="AV255">
        <v>1.5</v>
      </c>
      <c r="AW255" t="s">
        <v>56</v>
      </c>
    </row>
    <row r="256" spans="1:49">
      <c r="A256" s="1">
        <f>HYPERLINK("https://cms.ls-nyc.org/matter/dynamic-profile/view/1871928","18-1871928")</f>
        <v>0</v>
      </c>
      <c r="B256" t="s">
        <v>56</v>
      </c>
      <c r="C256" t="s">
        <v>82</v>
      </c>
      <c r="D256" t="s">
        <v>113</v>
      </c>
      <c r="E256" t="s">
        <v>143</v>
      </c>
      <c r="F256" t="s">
        <v>494</v>
      </c>
      <c r="G256" t="s">
        <v>1597</v>
      </c>
      <c r="H256" t="s">
        <v>2735</v>
      </c>
      <c r="I256" t="s">
        <v>3954</v>
      </c>
      <c r="J256" t="s">
        <v>4233</v>
      </c>
      <c r="K256">
        <v>11375</v>
      </c>
      <c r="L256" t="s">
        <v>4275</v>
      </c>
      <c r="M256" t="s">
        <v>4275</v>
      </c>
      <c r="O256" t="s">
        <v>4282</v>
      </c>
      <c r="P256" t="s">
        <v>4535</v>
      </c>
      <c r="Q256" t="s">
        <v>5731</v>
      </c>
      <c r="R256" t="s">
        <v>5753</v>
      </c>
      <c r="S256" t="s">
        <v>5759</v>
      </c>
      <c r="T256" t="s">
        <v>4276</v>
      </c>
      <c r="V256" t="s">
        <v>5767</v>
      </c>
      <c r="W256" t="s">
        <v>5772</v>
      </c>
      <c r="X256" t="s">
        <v>113</v>
      </c>
      <c r="Y256">
        <v>1590</v>
      </c>
      <c r="Z256" t="s">
        <v>5803</v>
      </c>
      <c r="AA256" t="s">
        <v>5804</v>
      </c>
      <c r="AB256" t="s">
        <v>5821</v>
      </c>
      <c r="AC256" t="s">
        <v>6077</v>
      </c>
      <c r="AD256" t="s">
        <v>7404</v>
      </c>
      <c r="AE256" t="s">
        <v>8087</v>
      </c>
      <c r="AF256">
        <v>99</v>
      </c>
      <c r="AG256" t="s">
        <v>9269</v>
      </c>
      <c r="AH256" t="s">
        <v>4280</v>
      </c>
      <c r="AI256">
        <v>23</v>
      </c>
      <c r="AJ256">
        <v>1</v>
      </c>
      <c r="AK256">
        <v>0</v>
      </c>
      <c r="AL256">
        <v>74.14</v>
      </c>
      <c r="AO256" t="s">
        <v>1425</v>
      </c>
      <c r="AP256">
        <v>9000</v>
      </c>
      <c r="AV256">
        <v>1.5</v>
      </c>
      <c r="AW256" t="s">
        <v>74</v>
      </c>
    </row>
    <row r="257" spans="1:49">
      <c r="A257" s="1">
        <f>HYPERLINK("https://cms.ls-nyc.org/matter/dynamic-profile/view/1882053","18-1882053")</f>
        <v>0</v>
      </c>
      <c r="B257" t="s">
        <v>56</v>
      </c>
      <c r="C257" t="s">
        <v>82</v>
      </c>
      <c r="D257" t="s">
        <v>201</v>
      </c>
      <c r="E257" t="s">
        <v>123</v>
      </c>
      <c r="F257" t="s">
        <v>536</v>
      </c>
      <c r="G257" t="s">
        <v>1598</v>
      </c>
      <c r="H257" t="s">
        <v>2736</v>
      </c>
      <c r="I257" t="s">
        <v>3955</v>
      </c>
      <c r="J257" t="s">
        <v>4240</v>
      </c>
      <c r="K257">
        <v>11373</v>
      </c>
      <c r="L257" t="s">
        <v>4275</v>
      </c>
      <c r="M257" t="s">
        <v>4275</v>
      </c>
      <c r="O257" t="s">
        <v>4281</v>
      </c>
      <c r="P257" t="s">
        <v>4536</v>
      </c>
      <c r="Q257" t="s">
        <v>5731</v>
      </c>
      <c r="R257" t="s">
        <v>5753</v>
      </c>
      <c r="S257" t="s">
        <v>5759</v>
      </c>
      <c r="T257" t="s">
        <v>4276</v>
      </c>
      <c r="V257" t="s">
        <v>5769</v>
      </c>
      <c r="W257" t="s">
        <v>5772</v>
      </c>
      <c r="X257" t="s">
        <v>139</v>
      </c>
      <c r="Y257">
        <v>1425</v>
      </c>
      <c r="Z257" t="s">
        <v>5803</v>
      </c>
      <c r="AA257" t="s">
        <v>5811</v>
      </c>
      <c r="AB257" t="s">
        <v>5821</v>
      </c>
      <c r="AC257" t="s">
        <v>6078</v>
      </c>
      <c r="AE257" t="s">
        <v>8088</v>
      </c>
      <c r="AF257">
        <v>127</v>
      </c>
      <c r="AG257" t="s">
        <v>9272</v>
      </c>
      <c r="AH257" t="s">
        <v>4280</v>
      </c>
      <c r="AI257">
        <v>10</v>
      </c>
      <c r="AJ257">
        <v>1</v>
      </c>
      <c r="AK257">
        <v>0</v>
      </c>
      <c r="AL257">
        <v>74.14</v>
      </c>
      <c r="AO257" t="s">
        <v>9302</v>
      </c>
      <c r="AP257">
        <v>9000</v>
      </c>
      <c r="AV257">
        <v>17.85</v>
      </c>
      <c r="AW257" t="s">
        <v>74</v>
      </c>
    </row>
    <row r="258" spans="1:49">
      <c r="A258" s="1">
        <f>HYPERLINK("https://cms.ls-nyc.org/matter/dynamic-profile/view/1875773","18-1875773")</f>
        <v>0</v>
      </c>
      <c r="B258" t="s">
        <v>56</v>
      </c>
      <c r="C258" t="s">
        <v>82</v>
      </c>
      <c r="D258" t="s">
        <v>151</v>
      </c>
      <c r="E258" t="s">
        <v>93</v>
      </c>
      <c r="F258" t="s">
        <v>510</v>
      </c>
      <c r="G258" t="s">
        <v>977</v>
      </c>
      <c r="H258" t="s">
        <v>2737</v>
      </c>
      <c r="I258" t="s">
        <v>3892</v>
      </c>
      <c r="J258" t="s">
        <v>4261</v>
      </c>
      <c r="K258">
        <v>11361</v>
      </c>
      <c r="L258" t="s">
        <v>4275</v>
      </c>
      <c r="M258" t="s">
        <v>4275</v>
      </c>
      <c r="O258" t="s">
        <v>4282</v>
      </c>
      <c r="P258" t="s">
        <v>4537</v>
      </c>
      <c r="Q258" t="s">
        <v>5731</v>
      </c>
      <c r="R258" t="s">
        <v>5751</v>
      </c>
      <c r="S258" t="s">
        <v>5758</v>
      </c>
      <c r="T258" t="s">
        <v>4276</v>
      </c>
      <c r="V258" t="s">
        <v>5767</v>
      </c>
      <c r="W258" t="s">
        <v>5772</v>
      </c>
      <c r="X258" t="s">
        <v>171</v>
      </c>
      <c r="Y258">
        <v>1029.71</v>
      </c>
      <c r="Z258" t="s">
        <v>5803</v>
      </c>
      <c r="AA258" t="s">
        <v>5804</v>
      </c>
      <c r="AB258" t="s">
        <v>5820</v>
      </c>
      <c r="AC258" t="s">
        <v>6079</v>
      </c>
      <c r="AD258" t="s">
        <v>7405</v>
      </c>
      <c r="AE258" t="s">
        <v>8089</v>
      </c>
      <c r="AF258">
        <v>14</v>
      </c>
      <c r="AG258" t="s">
        <v>9272</v>
      </c>
      <c r="AH258" t="s">
        <v>9285</v>
      </c>
      <c r="AI258">
        <v>12</v>
      </c>
      <c r="AJ258">
        <v>1</v>
      </c>
      <c r="AK258">
        <v>0</v>
      </c>
      <c r="AL258">
        <v>79.08</v>
      </c>
      <c r="AO258" t="s">
        <v>1425</v>
      </c>
      <c r="AP258">
        <v>9600</v>
      </c>
      <c r="AR258" t="s">
        <v>9329</v>
      </c>
      <c r="AS258" t="s">
        <v>9336</v>
      </c>
      <c r="AT258" t="s">
        <v>9369</v>
      </c>
      <c r="AU258" t="s">
        <v>9435</v>
      </c>
      <c r="AV258">
        <v>25.15</v>
      </c>
      <c r="AW258" t="s">
        <v>73</v>
      </c>
    </row>
    <row r="259" spans="1:49">
      <c r="A259" s="1">
        <f>HYPERLINK("https://cms.ls-nyc.org/matter/dynamic-profile/view/1887571","19-1887571")</f>
        <v>0</v>
      </c>
      <c r="B259" t="s">
        <v>56</v>
      </c>
      <c r="C259" t="s">
        <v>82</v>
      </c>
      <c r="D259" t="s">
        <v>136</v>
      </c>
      <c r="E259" t="s">
        <v>236</v>
      </c>
      <c r="F259" t="s">
        <v>537</v>
      </c>
      <c r="G259" t="s">
        <v>1599</v>
      </c>
      <c r="H259" t="s">
        <v>2738</v>
      </c>
      <c r="I259" t="s">
        <v>3866</v>
      </c>
      <c r="J259" t="s">
        <v>4239</v>
      </c>
      <c r="K259">
        <v>11420</v>
      </c>
      <c r="L259" t="s">
        <v>4275</v>
      </c>
      <c r="M259" t="s">
        <v>4275</v>
      </c>
      <c r="O259" t="s">
        <v>4282</v>
      </c>
      <c r="P259" t="s">
        <v>4538</v>
      </c>
      <c r="Q259" t="s">
        <v>5732</v>
      </c>
      <c r="R259" t="s">
        <v>5753</v>
      </c>
      <c r="S259" t="s">
        <v>5759</v>
      </c>
      <c r="T259" t="s">
        <v>4276</v>
      </c>
      <c r="V259" t="s">
        <v>5767</v>
      </c>
      <c r="W259" t="s">
        <v>5772</v>
      </c>
      <c r="X259" t="s">
        <v>136</v>
      </c>
      <c r="Y259">
        <v>1840</v>
      </c>
      <c r="Z259" t="s">
        <v>5803</v>
      </c>
      <c r="AA259" t="s">
        <v>5804</v>
      </c>
      <c r="AB259" t="s">
        <v>5821</v>
      </c>
      <c r="AC259" t="s">
        <v>6080</v>
      </c>
      <c r="AD259" t="s">
        <v>7406</v>
      </c>
      <c r="AE259" t="s">
        <v>8090</v>
      </c>
      <c r="AF259">
        <v>2</v>
      </c>
      <c r="AG259" t="s">
        <v>9269</v>
      </c>
      <c r="AH259" t="s">
        <v>4280</v>
      </c>
      <c r="AI259">
        <v>2</v>
      </c>
      <c r="AJ259">
        <v>2</v>
      </c>
      <c r="AK259">
        <v>4</v>
      </c>
      <c r="AL259">
        <v>82.98999999999999</v>
      </c>
      <c r="AO259" t="s">
        <v>1425</v>
      </c>
      <c r="AP259">
        <v>28000</v>
      </c>
      <c r="AV259">
        <v>1.6</v>
      </c>
      <c r="AW259" t="s">
        <v>54</v>
      </c>
    </row>
    <row r="260" spans="1:49">
      <c r="A260" s="1">
        <f>HYPERLINK("https://cms.ls-nyc.org/matter/dynamic-profile/view/1887173","19-1887173")</f>
        <v>0</v>
      </c>
      <c r="B260" t="s">
        <v>56</v>
      </c>
      <c r="C260" t="s">
        <v>82</v>
      </c>
      <c r="D260" t="s">
        <v>202</v>
      </c>
      <c r="E260" t="s">
        <v>202</v>
      </c>
      <c r="F260" t="s">
        <v>538</v>
      </c>
      <c r="G260" t="s">
        <v>1600</v>
      </c>
      <c r="H260" t="s">
        <v>2594</v>
      </c>
      <c r="I260" t="s">
        <v>3956</v>
      </c>
      <c r="J260" t="s">
        <v>4241</v>
      </c>
      <c r="K260">
        <v>11368</v>
      </c>
      <c r="L260" t="s">
        <v>4275</v>
      </c>
      <c r="M260" t="s">
        <v>4275</v>
      </c>
      <c r="O260" t="s">
        <v>4282</v>
      </c>
      <c r="P260" t="s">
        <v>4539</v>
      </c>
      <c r="Q260" t="s">
        <v>5733</v>
      </c>
      <c r="R260" t="s">
        <v>5753</v>
      </c>
      <c r="S260" t="s">
        <v>5759</v>
      </c>
      <c r="T260" t="s">
        <v>4276</v>
      </c>
      <c r="V260" t="s">
        <v>5767</v>
      </c>
      <c r="W260" t="s">
        <v>5772</v>
      </c>
      <c r="X260" t="s">
        <v>202</v>
      </c>
      <c r="Y260">
        <v>2464</v>
      </c>
      <c r="Z260" t="s">
        <v>5803</v>
      </c>
      <c r="AA260" t="s">
        <v>5804</v>
      </c>
      <c r="AB260" t="s">
        <v>5821</v>
      </c>
      <c r="AC260" t="s">
        <v>6081</v>
      </c>
      <c r="AE260" t="s">
        <v>8091</v>
      </c>
      <c r="AF260">
        <v>288</v>
      </c>
      <c r="AG260" t="s">
        <v>9270</v>
      </c>
      <c r="AH260" t="s">
        <v>9282</v>
      </c>
      <c r="AI260">
        <v>2</v>
      </c>
      <c r="AJ260">
        <v>1</v>
      </c>
      <c r="AK260">
        <v>0</v>
      </c>
      <c r="AL260">
        <v>83.03</v>
      </c>
      <c r="AO260" t="s">
        <v>5806</v>
      </c>
      <c r="AP260">
        <v>10080</v>
      </c>
      <c r="AV260">
        <v>1.45</v>
      </c>
      <c r="AW260" t="s">
        <v>54</v>
      </c>
    </row>
    <row r="261" spans="1:49">
      <c r="A261" s="1">
        <f>HYPERLINK("https://cms.ls-nyc.org/matter/dynamic-profile/view/1886156","18-1886156")</f>
        <v>0</v>
      </c>
      <c r="B261" t="s">
        <v>56</v>
      </c>
      <c r="C261" t="s">
        <v>82</v>
      </c>
      <c r="D261" t="s">
        <v>203</v>
      </c>
      <c r="E261" t="s">
        <v>197</v>
      </c>
      <c r="F261" t="s">
        <v>539</v>
      </c>
      <c r="G261" t="s">
        <v>1601</v>
      </c>
      <c r="H261" t="s">
        <v>2739</v>
      </c>
      <c r="I261" t="s">
        <v>3957</v>
      </c>
      <c r="J261" t="s">
        <v>4252</v>
      </c>
      <c r="K261">
        <v>11374</v>
      </c>
      <c r="L261" t="s">
        <v>4275</v>
      </c>
      <c r="M261" t="s">
        <v>4275</v>
      </c>
      <c r="O261" t="s">
        <v>4282</v>
      </c>
      <c r="P261" t="s">
        <v>4540</v>
      </c>
      <c r="Q261" t="s">
        <v>5731</v>
      </c>
      <c r="R261" t="s">
        <v>5751</v>
      </c>
      <c r="S261" t="s">
        <v>5758</v>
      </c>
      <c r="T261" t="s">
        <v>4276</v>
      </c>
      <c r="V261" t="s">
        <v>5767</v>
      </c>
      <c r="W261" t="s">
        <v>5772</v>
      </c>
      <c r="X261" t="s">
        <v>191</v>
      </c>
      <c r="Y261">
        <v>761</v>
      </c>
      <c r="Z261" t="s">
        <v>5803</v>
      </c>
      <c r="AA261" t="s">
        <v>5804</v>
      </c>
      <c r="AB261" t="s">
        <v>5820</v>
      </c>
      <c r="AC261" t="s">
        <v>6082</v>
      </c>
      <c r="AD261" t="s">
        <v>7407</v>
      </c>
      <c r="AE261" t="s">
        <v>8092</v>
      </c>
      <c r="AF261">
        <v>284</v>
      </c>
      <c r="AG261" t="s">
        <v>9272</v>
      </c>
      <c r="AH261" t="s">
        <v>9287</v>
      </c>
      <c r="AI261">
        <v>40</v>
      </c>
      <c r="AJ261">
        <v>1</v>
      </c>
      <c r="AK261">
        <v>0</v>
      </c>
      <c r="AL261">
        <v>84.02</v>
      </c>
      <c r="AO261" t="s">
        <v>1425</v>
      </c>
      <c r="AP261">
        <v>10200</v>
      </c>
      <c r="AR261" t="s">
        <v>9329</v>
      </c>
      <c r="AS261" t="s">
        <v>9336</v>
      </c>
      <c r="AT261" t="s">
        <v>9369</v>
      </c>
      <c r="AU261" t="s">
        <v>9388</v>
      </c>
      <c r="AV261">
        <v>28.55</v>
      </c>
      <c r="AW261" t="s">
        <v>73</v>
      </c>
    </row>
    <row r="262" spans="1:49">
      <c r="A262" s="1">
        <f>HYPERLINK("https://cms.ls-nyc.org/matter/dynamic-profile/view/1874975","18-1874975")</f>
        <v>0</v>
      </c>
      <c r="B262" t="s">
        <v>56</v>
      </c>
      <c r="C262" t="s">
        <v>82</v>
      </c>
      <c r="D262" t="s">
        <v>118</v>
      </c>
      <c r="E262" t="s">
        <v>122</v>
      </c>
      <c r="F262" t="s">
        <v>540</v>
      </c>
      <c r="G262" t="s">
        <v>1602</v>
      </c>
      <c r="H262" t="s">
        <v>2740</v>
      </c>
      <c r="I262">
        <v>905</v>
      </c>
      <c r="J262" t="s">
        <v>4247</v>
      </c>
      <c r="K262">
        <v>11415</v>
      </c>
      <c r="L262" t="s">
        <v>4275</v>
      </c>
      <c r="M262" t="s">
        <v>4275</v>
      </c>
      <c r="O262" t="s">
        <v>4283</v>
      </c>
      <c r="P262" t="s">
        <v>4541</v>
      </c>
      <c r="Q262" t="s">
        <v>5732</v>
      </c>
      <c r="R262" t="s">
        <v>5753</v>
      </c>
      <c r="S262" t="s">
        <v>5759</v>
      </c>
      <c r="T262" t="s">
        <v>4276</v>
      </c>
      <c r="V262" t="s">
        <v>5767</v>
      </c>
      <c r="W262" t="s">
        <v>5774</v>
      </c>
      <c r="X262" t="s">
        <v>118</v>
      </c>
      <c r="Y262">
        <v>633</v>
      </c>
      <c r="Z262" t="s">
        <v>5803</v>
      </c>
      <c r="AA262" t="s">
        <v>5804</v>
      </c>
      <c r="AB262" t="s">
        <v>5821</v>
      </c>
      <c r="AC262" t="s">
        <v>6083</v>
      </c>
      <c r="AD262" t="s">
        <v>7408</v>
      </c>
      <c r="AE262" t="s">
        <v>8093</v>
      </c>
      <c r="AF262">
        <v>100</v>
      </c>
      <c r="AG262" t="s">
        <v>9273</v>
      </c>
      <c r="AH262" t="s">
        <v>4280</v>
      </c>
      <c r="AI262">
        <v>29</v>
      </c>
      <c r="AJ262">
        <v>1</v>
      </c>
      <c r="AK262">
        <v>0</v>
      </c>
      <c r="AL262">
        <v>84.42</v>
      </c>
      <c r="AO262" t="s">
        <v>1425</v>
      </c>
      <c r="AP262">
        <v>10248</v>
      </c>
      <c r="AV262">
        <v>1.75</v>
      </c>
      <c r="AW262" t="s">
        <v>54</v>
      </c>
    </row>
    <row r="263" spans="1:49">
      <c r="A263" s="1">
        <f>HYPERLINK("https://cms.ls-nyc.org/matter/dynamic-profile/view/1896156","19-1896156")</f>
        <v>0</v>
      </c>
      <c r="B263" t="s">
        <v>56</v>
      </c>
      <c r="C263" t="s">
        <v>83</v>
      </c>
      <c r="D263" t="s">
        <v>132</v>
      </c>
      <c r="F263" t="s">
        <v>541</v>
      </c>
      <c r="G263" t="s">
        <v>1603</v>
      </c>
      <c r="H263" t="s">
        <v>2741</v>
      </c>
      <c r="I263" t="s">
        <v>3931</v>
      </c>
      <c r="J263" t="s">
        <v>4222</v>
      </c>
      <c r="K263">
        <v>11433</v>
      </c>
      <c r="L263" t="s">
        <v>4275</v>
      </c>
      <c r="M263" t="s">
        <v>4275</v>
      </c>
      <c r="N263" t="s">
        <v>4278</v>
      </c>
      <c r="O263" t="s">
        <v>4281</v>
      </c>
      <c r="P263" t="s">
        <v>4542</v>
      </c>
      <c r="Q263" t="s">
        <v>5732</v>
      </c>
      <c r="R263" t="s">
        <v>5751</v>
      </c>
      <c r="T263" t="s">
        <v>4276</v>
      </c>
      <c r="V263" t="s">
        <v>5767</v>
      </c>
      <c r="Y263">
        <v>865</v>
      </c>
      <c r="Z263" t="s">
        <v>5803</v>
      </c>
      <c r="AA263" t="s">
        <v>5805</v>
      </c>
      <c r="AC263" t="s">
        <v>6084</v>
      </c>
      <c r="AE263" t="s">
        <v>8094</v>
      </c>
      <c r="AF263">
        <v>0</v>
      </c>
      <c r="AG263" t="s">
        <v>9272</v>
      </c>
      <c r="AH263" t="s">
        <v>4280</v>
      </c>
      <c r="AI263">
        <v>3</v>
      </c>
      <c r="AJ263">
        <v>1</v>
      </c>
      <c r="AK263">
        <v>0</v>
      </c>
      <c r="AL263">
        <v>92.23</v>
      </c>
      <c r="AO263" t="s">
        <v>1425</v>
      </c>
      <c r="AP263">
        <v>11520</v>
      </c>
      <c r="AV263">
        <v>4.15</v>
      </c>
      <c r="AW263" t="s">
        <v>54</v>
      </c>
    </row>
    <row r="264" spans="1:49">
      <c r="A264" s="1">
        <f>HYPERLINK("https://cms.ls-nyc.org/matter/dynamic-profile/view/1895623","19-1895623")</f>
        <v>0</v>
      </c>
      <c r="B264" t="s">
        <v>56</v>
      </c>
      <c r="C264" t="s">
        <v>82</v>
      </c>
      <c r="D264" t="s">
        <v>107</v>
      </c>
      <c r="E264" t="s">
        <v>294</v>
      </c>
      <c r="F264" t="s">
        <v>542</v>
      </c>
      <c r="G264" t="s">
        <v>1604</v>
      </c>
      <c r="H264" t="s">
        <v>2742</v>
      </c>
      <c r="I264" t="s">
        <v>3864</v>
      </c>
      <c r="J264" t="s">
        <v>4222</v>
      </c>
      <c r="K264">
        <v>11434</v>
      </c>
      <c r="L264" t="s">
        <v>4275</v>
      </c>
      <c r="M264" t="s">
        <v>4275</v>
      </c>
      <c r="N264" t="s">
        <v>4278</v>
      </c>
      <c r="O264" t="s">
        <v>4281</v>
      </c>
      <c r="P264" t="s">
        <v>4543</v>
      </c>
      <c r="Q264" t="s">
        <v>5732</v>
      </c>
      <c r="R264" t="s">
        <v>5753</v>
      </c>
      <c r="S264" t="s">
        <v>5759</v>
      </c>
      <c r="T264" t="s">
        <v>4276</v>
      </c>
      <c r="V264" t="s">
        <v>5767</v>
      </c>
      <c r="W264" t="s">
        <v>5772</v>
      </c>
      <c r="X264" t="s">
        <v>217</v>
      </c>
      <c r="Y264">
        <v>600</v>
      </c>
      <c r="Z264" t="s">
        <v>5803</v>
      </c>
      <c r="AA264" t="s">
        <v>5805</v>
      </c>
      <c r="AB264" t="s">
        <v>5821</v>
      </c>
      <c r="AC264" t="s">
        <v>6085</v>
      </c>
      <c r="AD264" t="s">
        <v>7409</v>
      </c>
      <c r="AE264" t="s">
        <v>8095</v>
      </c>
      <c r="AF264">
        <v>3</v>
      </c>
      <c r="AG264" t="s">
        <v>9269</v>
      </c>
      <c r="AH264" t="s">
        <v>4280</v>
      </c>
      <c r="AI264">
        <v>12</v>
      </c>
      <c r="AJ264">
        <v>2</v>
      </c>
      <c r="AK264">
        <v>1</v>
      </c>
      <c r="AL264">
        <v>93</v>
      </c>
      <c r="AO264" t="s">
        <v>1425</v>
      </c>
      <c r="AP264">
        <v>19836</v>
      </c>
      <c r="AV264">
        <v>2.35</v>
      </c>
      <c r="AW264" t="s">
        <v>56</v>
      </c>
    </row>
    <row r="265" spans="1:49">
      <c r="A265" s="1">
        <f>HYPERLINK("https://cms.ls-nyc.org/matter/dynamic-profile/view/1872500","18-1872500")</f>
        <v>0</v>
      </c>
      <c r="B265" t="s">
        <v>56</v>
      </c>
      <c r="C265" t="s">
        <v>82</v>
      </c>
      <c r="D265" t="s">
        <v>195</v>
      </c>
      <c r="E265" t="s">
        <v>259</v>
      </c>
      <c r="F265" t="s">
        <v>543</v>
      </c>
      <c r="G265" t="s">
        <v>1605</v>
      </c>
      <c r="H265" t="s">
        <v>2743</v>
      </c>
      <c r="I265" t="s">
        <v>3863</v>
      </c>
      <c r="J265" t="s">
        <v>4237</v>
      </c>
      <c r="K265">
        <v>11356</v>
      </c>
      <c r="L265" t="s">
        <v>4275</v>
      </c>
      <c r="M265" t="s">
        <v>4275</v>
      </c>
      <c r="O265" t="s">
        <v>4282</v>
      </c>
      <c r="P265" t="s">
        <v>4544</v>
      </c>
      <c r="Q265" t="s">
        <v>5732</v>
      </c>
      <c r="R265" t="s">
        <v>5753</v>
      </c>
      <c r="S265" t="s">
        <v>5759</v>
      </c>
      <c r="T265" t="s">
        <v>4276</v>
      </c>
      <c r="V265" t="s">
        <v>5767</v>
      </c>
      <c r="W265" t="s">
        <v>5772</v>
      </c>
      <c r="X265" t="s">
        <v>195</v>
      </c>
      <c r="Y265">
        <v>1600</v>
      </c>
      <c r="Z265" t="s">
        <v>5803</v>
      </c>
      <c r="AA265" t="s">
        <v>5804</v>
      </c>
      <c r="AB265" t="s">
        <v>5821</v>
      </c>
      <c r="AC265" t="s">
        <v>6086</v>
      </c>
      <c r="AE265" t="s">
        <v>8096</v>
      </c>
      <c r="AF265">
        <v>12</v>
      </c>
      <c r="AG265" t="s">
        <v>9269</v>
      </c>
      <c r="AH265" t="s">
        <v>4280</v>
      </c>
      <c r="AI265">
        <v>2</v>
      </c>
      <c r="AJ265">
        <v>2</v>
      </c>
      <c r="AK265">
        <v>0</v>
      </c>
      <c r="AL265">
        <v>94.78</v>
      </c>
      <c r="AO265" t="s">
        <v>1425</v>
      </c>
      <c r="AP265">
        <v>15600</v>
      </c>
      <c r="AV265">
        <v>1.85</v>
      </c>
      <c r="AW265" t="s">
        <v>54</v>
      </c>
    </row>
    <row r="266" spans="1:49">
      <c r="A266" s="1">
        <f>HYPERLINK("https://cms.ls-nyc.org/matter/dynamic-profile/view/1892560","19-1892560")</f>
        <v>0</v>
      </c>
      <c r="B266" t="s">
        <v>56</v>
      </c>
      <c r="C266" t="s">
        <v>83</v>
      </c>
      <c r="D266" t="s">
        <v>163</v>
      </c>
      <c r="F266" t="s">
        <v>544</v>
      </c>
      <c r="G266" t="s">
        <v>1606</v>
      </c>
      <c r="H266" t="s">
        <v>2744</v>
      </c>
      <c r="I266">
        <v>2</v>
      </c>
      <c r="J266" t="s">
        <v>4222</v>
      </c>
      <c r="K266">
        <v>11433</v>
      </c>
      <c r="L266" t="s">
        <v>4275</v>
      </c>
      <c r="M266" t="s">
        <v>4275</v>
      </c>
      <c r="N266" t="s">
        <v>4278</v>
      </c>
      <c r="O266" t="s">
        <v>4281</v>
      </c>
      <c r="P266" t="s">
        <v>4545</v>
      </c>
      <c r="Q266" t="s">
        <v>5732</v>
      </c>
      <c r="R266" t="s">
        <v>5751</v>
      </c>
      <c r="T266" t="s">
        <v>4276</v>
      </c>
      <c r="V266" t="s">
        <v>5767</v>
      </c>
      <c r="W266" t="s">
        <v>5772</v>
      </c>
      <c r="Y266">
        <v>1500</v>
      </c>
      <c r="Z266" t="s">
        <v>5803</v>
      </c>
      <c r="AA266" t="s">
        <v>5805</v>
      </c>
      <c r="AC266" t="s">
        <v>6087</v>
      </c>
      <c r="AE266" t="s">
        <v>8097</v>
      </c>
      <c r="AF266">
        <v>2</v>
      </c>
      <c r="AG266" t="s">
        <v>9269</v>
      </c>
      <c r="AH266" t="s">
        <v>4280</v>
      </c>
      <c r="AI266">
        <v>1</v>
      </c>
      <c r="AJ266">
        <v>1</v>
      </c>
      <c r="AK266">
        <v>0</v>
      </c>
      <c r="AL266">
        <v>96.08</v>
      </c>
      <c r="AO266" t="s">
        <v>1425</v>
      </c>
      <c r="AP266">
        <v>12000</v>
      </c>
      <c r="AV266">
        <v>29.2</v>
      </c>
      <c r="AW266" t="s">
        <v>56</v>
      </c>
    </row>
    <row r="267" spans="1:49">
      <c r="A267" s="1">
        <f>HYPERLINK("https://cms.ls-nyc.org/matter/dynamic-profile/view/1881337","18-1881337")</f>
        <v>0</v>
      </c>
      <c r="B267" t="s">
        <v>56</v>
      </c>
      <c r="C267" t="s">
        <v>82</v>
      </c>
      <c r="D267" t="s">
        <v>150</v>
      </c>
      <c r="E267" t="s">
        <v>87</v>
      </c>
      <c r="F267" t="s">
        <v>545</v>
      </c>
      <c r="G267" t="s">
        <v>1607</v>
      </c>
      <c r="H267" t="s">
        <v>2745</v>
      </c>
      <c r="J267" t="s">
        <v>4222</v>
      </c>
      <c r="K267">
        <v>11434</v>
      </c>
      <c r="L267" t="s">
        <v>4275</v>
      </c>
      <c r="M267" t="s">
        <v>4275</v>
      </c>
      <c r="N267" t="s">
        <v>4278</v>
      </c>
      <c r="O267" t="s">
        <v>4281</v>
      </c>
      <c r="P267" t="s">
        <v>4546</v>
      </c>
      <c r="Q267" t="s">
        <v>5731</v>
      </c>
      <c r="R267" t="s">
        <v>5751</v>
      </c>
      <c r="S267" t="s">
        <v>5758</v>
      </c>
      <c r="T267" t="s">
        <v>4276</v>
      </c>
      <c r="V267" t="s">
        <v>5767</v>
      </c>
      <c r="W267" t="s">
        <v>5772</v>
      </c>
      <c r="X267" t="s">
        <v>171</v>
      </c>
      <c r="Y267">
        <v>683.99</v>
      </c>
      <c r="Z267" t="s">
        <v>5803</v>
      </c>
      <c r="AA267" t="s">
        <v>5805</v>
      </c>
      <c r="AB267" t="s">
        <v>5820</v>
      </c>
      <c r="AC267" t="s">
        <v>6088</v>
      </c>
      <c r="AE267" t="s">
        <v>8098</v>
      </c>
      <c r="AF267">
        <v>293</v>
      </c>
      <c r="AG267" t="s">
        <v>9272</v>
      </c>
      <c r="AH267" t="s">
        <v>4280</v>
      </c>
      <c r="AI267">
        <v>7</v>
      </c>
      <c r="AJ267">
        <v>1</v>
      </c>
      <c r="AK267">
        <v>1</v>
      </c>
      <c r="AL267">
        <v>97.93000000000001</v>
      </c>
      <c r="AO267" t="s">
        <v>1425</v>
      </c>
      <c r="AP267">
        <v>16120</v>
      </c>
      <c r="AS267" t="s">
        <v>9336</v>
      </c>
      <c r="AT267" t="s">
        <v>9369</v>
      </c>
      <c r="AU267" t="s">
        <v>9436</v>
      </c>
      <c r="AV267">
        <v>18.65</v>
      </c>
      <c r="AW267" t="s">
        <v>60</v>
      </c>
    </row>
    <row r="268" spans="1:49">
      <c r="A268" s="1">
        <f>HYPERLINK("https://cms.ls-nyc.org/matter/dynamic-profile/view/1899946","19-1899946")</f>
        <v>0</v>
      </c>
      <c r="B268" t="s">
        <v>56</v>
      </c>
      <c r="C268" t="s">
        <v>82</v>
      </c>
      <c r="D268" t="s">
        <v>99</v>
      </c>
      <c r="E268" t="s">
        <v>217</v>
      </c>
      <c r="F268" t="s">
        <v>546</v>
      </c>
      <c r="G268" t="s">
        <v>1608</v>
      </c>
      <c r="H268" t="s">
        <v>2746</v>
      </c>
      <c r="I268" t="s">
        <v>3958</v>
      </c>
      <c r="J268" t="s">
        <v>4241</v>
      </c>
      <c r="K268">
        <v>11368</v>
      </c>
      <c r="L268" t="s">
        <v>4275</v>
      </c>
      <c r="M268" t="s">
        <v>4277</v>
      </c>
      <c r="N268" t="s">
        <v>4279</v>
      </c>
      <c r="O268" t="s">
        <v>4282</v>
      </c>
      <c r="P268" t="s">
        <v>4547</v>
      </c>
      <c r="Q268" t="s">
        <v>5731</v>
      </c>
      <c r="R268" t="s">
        <v>5753</v>
      </c>
      <c r="S268" t="s">
        <v>5759</v>
      </c>
      <c r="T268" t="s">
        <v>4276</v>
      </c>
      <c r="V268" t="s">
        <v>5767</v>
      </c>
      <c r="W268" t="s">
        <v>5772</v>
      </c>
      <c r="X268" t="s">
        <v>217</v>
      </c>
      <c r="Y268">
        <v>1063.16</v>
      </c>
      <c r="Z268" t="s">
        <v>5803</v>
      </c>
      <c r="AA268" t="s">
        <v>5804</v>
      </c>
      <c r="AB268" t="s">
        <v>5821</v>
      </c>
      <c r="AC268" t="s">
        <v>6089</v>
      </c>
      <c r="AD268" t="s">
        <v>7410</v>
      </c>
      <c r="AE268" t="s">
        <v>8099</v>
      </c>
      <c r="AF268">
        <v>180</v>
      </c>
      <c r="AG268" t="s">
        <v>9272</v>
      </c>
      <c r="AH268" t="s">
        <v>4280</v>
      </c>
      <c r="AI268">
        <v>33</v>
      </c>
      <c r="AJ268">
        <v>1</v>
      </c>
      <c r="AK268">
        <v>0</v>
      </c>
      <c r="AL268">
        <v>99.92</v>
      </c>
      <c r="AO268" t="s">
        <v>1425</v>
      </c>
      <c r="AP268">
        <v>12480</v>
      </c>
      <c r="AV268">
        <v>1.55</v>
      </c>
      <c r="AW268" t="s">
        <v>54</v>
      </c>
    </row>
    <row r="269" spans="1:49">
      <c r="A269" s="1">
        <f>HYPERLINK("https://cms.ls-nyc.org/matter/dynamic-profile/view/1878591","18-1878591")</f>
        <v>0</v>
      </c>
      <c r="B269" t="s">
        <v>56</v>
      </c>
      <c r="C269" t="s">
        <v>82</v>
      </c>
      <c r="D269" t="s">
        <v>147</v>
      </c>
      <c r="E269" t="s">
        <v>243</v>
      </c>
      <c r="F269" t="s">
        <v>530</v>
      </c>
      <c r="G269" t="s">
        <v>1592</v>
      </c>
      <c r="H269" t="s">
        <v>2729</v>
      </c>
      <c r="I269" t="s">
        <v>3950</v>
      </c>
      <c r="J269" t="s">
        <v>4222</v>
      </c>
      <c r="K269">
        <v>11435</v>
      </c>
      <c r="L269" t="s">
        <v>4275</v>
      </c>
      <c r="M269" t="s">
        <v>4275</v>
      </c>
      <c r="O269" t="s">
        <v>4282</v>
      </c>
      <c r="P269" t="s">
        <v>4548</v>
      </c>
      <c r="Q269" t="s">
        <v>5732</v>
      </c>
      <c r="R269" t="s">
        <v>5753</v>
      </c>
      <c r="S269" t="s">
        <v>5759</v>
      </c>
      <c r="T269" t="s">
        <v>4276</v>
      </c>
      <c r="V269" t="s">
        <v>5767</v>
      </c>
      <c r="W269" t="s">
        <v>5772</v>
      </c>
      <c r="X269" t="s">
        <v>5782</v>
      </c>
      <c r="Y269">
        <v>1500</v>
      </c>
      <c r="Z269" t="s">
        <v>5803</v>
      </c>
      <c r="AA269" t="s">
        <v>5804</v>
      </c>
      <c r="AB269" t="s">
        <v>5821</v>
      </c>
      <c r="AC269" t="s">
        <v>6072</v>
      </c>
      <c r="AD269" t="s">
        <v>7411</v>
      </c>
      <c r="AE269" t="s">
        <v>8081</v>
      </c>
      <c r="AF269">
        <v>2</v>
      </c>
      <c r="AG269" t="s">
        <v>9269</v>
      </c>
      <c r="AH269" t="s">
        <v>4280</v>
      </c>
      <c r="AI269">
        <v>1</v>
      </c>
      <c r="AJ269">
        <v>3</v>
      </c>
      <c r="AK269">
        <v>3</v>
      </c>
      <c r="AL269">
        <v>100.77</v>
      </c>
      <c r="AO269" t="s">
        <v>1425</v>
      </c>
      <c r="AP269">
        <v>34000</v>
      </c>
      <c r="AV269">
        <v>0.85</v>
      </c>
      <c r="AW269" t="s">
        <v>54</v>
      </c>
    </row>
    <row r="270" spans="1:49">
      <c r="A270" s="1">
        <f>HYPERLINK("https://cms.ls-nyc.org/matter/dynamic-profile/view/1875021","18-1875021")</f>
        <v>0</v>
      </c>
      <c r="B270" t="s">
        <v>56</v>
      </c>
      <c r="C270" t="s">
        <v>83</v>
      </c>
      <c r="D270" t="s">
        <v>118</v>
      </c>
      <c r="F270" t="s">
        <v>547</v>
      </c>
      <c r="G270" t="s">
        <v>1609</v>
      </c>
      <c r="H270" t="s">
        <v>2747</v>
      </c>
      <c r="I270" t="s">
        <v>3959</v>
      </c>
      <c r="J270" t="s">
        <v>4222</v>
      </c>
      <c r="K270">
        <v>11435</v>
      </c>
      <c r="L270" t="s">
        <v>4275</v>
      </c>
      <c r="M270" t="s">
        <v>4275</v>
      </c>
      <c r="N270" t="s">
        <v>4278</v>
      </c>
      <c r="O270" t="s">
        <v>4282</v>
      </c>
      <c r="P270" t="s">
        <v>4549</v>
      </c>
      <c r="Q270" t="s">
        <v>5732</v>
      </c>
      <c r="R270" t="s">
        <v>5751</v>
      </c>
      <c r="T270" t="s">
        <v>4276</v>
      </c>
      <c r="V270" t="s">
        <v>5767</v>
      </c>
      <c r="W270" t="s">
        <v>5773</v>
      </c>
      <c r="X270" t="s">
        <v>118</v>
      </c>
      <c r="Y270">
        <v>1200</v>
      </c>
      <c r="Z270" t="s">
        <v>5803</v>
      </c>
      <c r="AA270" t="s">
        <v>5804</v>
      </c>
      <c r="AC270" t="s">
        <v>6090</v>
      </c>
      <c r="AD270" t="s">
        <v>7412</v>
      </c>
      <c r="AE270" t="s">
        <v>8100</v>
      </c>
      <c r="AF270">
        <v>84</v>
      </c>
      <c r="AG270" t="s">
        <v>9272</v>
      </c>
      <c r="AH270" t="s">
        <v>4280</v>
      </c>
      <c r="AI270">
        <v>32</v>
      </c>
      <c r="AJ270">
        <v>2</v>
      </c>
      <c r="AK270">
        <v>3</v>
      </c>
      <c r="AL270">
        <v>103.33</v>
      </c>
      <c r="AO270" t="s">
        <v>1425</v>
      </c>
      <c r="AP270">
        <v>30400</v>
      </c>
      <c r="AV270">
        <v>22</v>
      </c>
      <c r="AW270" t="s">
        <v>54</v>
      </c>
    </row>
    <row r="271" spans="1:49">
      <c r="A271" s="1">
        <f>HYPERLINK("https://cms.ls-nyc.org/matter/dynamic-profile/view/1891548","19-1891548")</f>
        <v>0</v>
      </c>
      <c r="B271" t="s">
        <v>56</v>
      </c>
      <c r="C271" t="s">
        <v>82</v>
      </c>
      <c r="D271" t="s">
        <v>115</v>
      </c>
      <c r="E271" t="s">
        <v>208</v>
      </c>
      <c r="F271" t="s">
        <v>548</v>
      </c>
      <c r="G271" t="s">
        <v>1610</v>
      </c>
      <c r="H271" t="s">
        <v>2748</v>
      </c>
      <c r="I271" t="s">
        <v>3892</v>
      </c>
      <c r="J271" t="s">
        <v>4255</v>
      </c>
      <c r="K271">
        <v>11372</v>
      </c>
      <c r="L271" t="s">
        <v>4275</v>
      </c>
      <c r="M271" t="s">
        <v>4275</v>
      </c>
      <c r="O271" t="s">
        <v>4282</v>
      </c>
      <c r="P271" t="s">
        <v>4550</v>
      </c>
      <c r="Q271" t="s">
        <v>5731</v>
      </c>
      <c r="R271" t="s">
        <v>5753</v>
      </c>
      <c r="S271" t="s">
        <v>5759</v>
      </c>
      <c r="T271" t="s">
        <v>4276</v>
      </c>
      <c r="V271" t="s">
        <v>5767</v>
      </c>
      <c r="W271" t="s">
        <v>5772</v>
      </c>
      <c r="X271" t="s">
        <v>165</v>
      </c>
      <c r="Y271">
        <v>1609.4</v>
      </c>
      <c r="Z271" t="s">
        <v>5803</v>
      </c>
      <c r="AA271" t="s">
        <v>5804</v>
      </c>
      <c r="AB271" t="s">
        <v>5821</v>
      </c>
      <c r="AC271" t="s">
        <v>6091</v>
      </c>
      <c r="AD271" t="s">
        <v>7413</v>
      </c>
      <c r="AE271" t="s">
        <v>8101</v>
      </c>
      <c r="AF271">
        <v>192</v>
      </c>
      <c r="AG271" t="s">
        <v>9272</v>
      </c>
      <c r="AH271" t="s">
        <v>4280</v>
      </c>
      <c r="AI271">
        <v>11</v>
      </c>
      <c r="AJ271">
        <v>3</v>
      </c>
      <c r="AK271">
        <v>0</v>
      </c>
      <c r="AL271">
        <v>104.98</v>
      </c>
      <c r="AO271" t="s">
        <v>1425</v>
      </c>
      <c r="AP271">
        <v>22392</v>
      </c>
      <c r="AV271">
        <v>0.75</v>
      </c>
      <c r="AW271" t="s">
        <v>74</v>
      </c>
    </row>
    <row r="272" spans="1:49">
      <c r="A272" s="1">
        <f>HYPERLINK("https://cms.ls-nyc.org/matter/dynamic-profile/view/1879476","18-1879476")</f>
        <v>0</v>
      </c>
      <c r="B272" t="s">
        <v>56</v>
      </c>
      <c r="C272" t="s">
        <v>82</v>
      </c>
      <c r="D272" t="s">
        <v>128</v>
      </c>
      <c r="E272" t="s">
        <v>295</v>
      </c>
      <c r="F272" t="s">
        <v>549</v>
      </c>
      <c r="G272" t="s">
        <v>1611</v>
      </c>
      <c r="H272" t="s">
        <v>2749</v>
      </c>
      <c r="I272" t="s">
        <v>3960</v>
      </c>
      <c r="J272" t="s">
        <v>4222</v>
      </c>
      <c r="K272">
        <v>11434</v>
      </c>
      <c r="L272" t="s">
        <v>4275</v>
      </c>
      <c r="M272" t="s">
        <v>4275</v>
      </c>
      <c r="O272" t="s">
        <v>4281</v>
      </c>
      <c r="P272" t="s">
        <v>4551</v>
      </c>
      <c r="Q272" t="s">
        <v>5732</v>
      </c>
      <c r="R272" t="s">
        <v>5751</v>
      </c>
      <c r="S272" t="s">
        <v>5758</v>
      </c>
      <c r="T272" t="s">
        <v>4276</v>
      </c>
      <c r="V272" t="s">
        <v>5767</v>
      </c>
      <c r="W272" t="s">
        <v>5772</v>
      </c>
      <c r="X272" t="s">
        <v>142</v>
      </c>
      <c r="Y272">
        <v>2000</v>
      </c>
      <c r="Z272" t="s">
        <v>5803</v>
      </c>
      <c r="AA272" t="s">
        <v>5805</v>
      </c>
      <c r="AB272" t="s">
        <v>5820</v>
      </c>
      <c r="AC272" t="s">
        <v>6092</v>
      </c>
      <c r="AE272" t="s">
        <v>8102</v>
      </c>
      <c r="AF272">
        <v>3</v>
      </c>
      <c r="AG272" t="s">
        <v>9269</v>
      </c>
      <c r="AH272" t="s">
        <v>4280</v>
      </c>
      <c r="AI272">
        <v>3</v>
      </c>
      <c r="AJ272">
        <v>3</v>
      </c>
      <c r="AK272">
        <v>1</v>
      </c>
      <c r="AL272">
        <v>105.18</v>
      </c>
      <c r="AO272" t="s">
        <v>1425</v>
      </c>
      <c r="AP272">
        <v>26400</v>
      </c>
      <c r="AR272" t="s">
        <v>9329</v>
      </c>
      <c r="AS272" t="s">
        <v>9336</v>
      </c>
      <c r="AT272" t="s">
        <v>9369</v>
      </c>
      <c r="AU272" t="s">
        <v>9437</v>
      </c>
      <c r="AV272">
        <v>16.9</v>
      </c>
      <c r="AW272" t="s">
        <v>60</v>
      </c>
    </row>
    <row r="273" spans="1:49">
      <c r="A273" s="1">
        <f>HYPERLINK("https://cms.ls-nyc.org/matter/dynamic-profile/view/1871950","18-1871950")</f>
        <v>0</v>
      </c>
      <c r="B273" t="s">
        <v>56</v>
      </c>
      <c r="C273" t="s">
        <v>82</v>
      </c>
      <c r="D273" t="s">
        <v>113</v>
      </c>
      <c r="E273" t="s">
        <v>293</v>
      </c>
      <c r="F273" t="s">
        <v>550</v>
      </c>
      <c r="G273" t="s">
        <v>1021</v>
      </c>
      <c r="H273" t="s">
        <v>2750</v>
      </c>
      <c r="I273" t="s">
        <v>3961</v>
      </c>
      <c r="J273" t="s">
        <v>4222</v>
      </c>
      <c r="K273">
        <v>11432</v>
      </c>
      <c r="L273" t="s">
        <v>4275</v>
      </c>
      <c r="M273" t="s">
        <v>4275</v>
      </c>
      <c r="O273" t="s">
        <v>4282</v>
      </c>
      <c r="P273" t="s">
        <v>4552</v>
      </c>
      <c r="Q273" t="s">
        <v>5732</v>
      </c>
      <c r="R273" t="s">
        <v>5753</v>
      </c>
      <c r="S273" t="s">
        <v>5759</v>
      </c>
      <c r="T273" t="s">
        <v>4276</v>
      </c>
      <c r="V273" t="s">
        <v>5767</v>
      </c>
      <c r="W273" t="s">
        <v>5772</v>
      </c>
      <c r="X273" t="s">
        <v>113</v>
      </c>
      <c r="Y273">
        <v>1000</v>
      </c>
      <c r="Z273" t="s">
        <v>5803</v>
      </c>
      <c r="AA273" t="s">
        <v>5804</v>
      </c>
      <c r="AB273" t="s">
        <v>5821</v>
      </c>
      <c r="AC273" t="s">
        <v>6093</v>
      </c>
      <c r="AD273" t="s">
        <v>4700</v>
      </c>
      <c r="AE273" t="s">
        <v>8103</v>
      </c>
      <c r="AF273">
        <v>80</v>
      </c>
      <c r="AG273" t="s">
        <v>9272</v>
      </c>
      <c r="AH273" t="s">
        <v>4280</v>
      </c>
      <c r="AI273">
        <v>2</v>
      </c>
      <c r="AJ273">
        <v>2</v>
      </c>
      <c r="AK273">
        <v>2</v>
      </c>
      <c r="AL273">
        <v>105.18</v>
      </c>
      <c r="AO273" t="s">
        <v>1425</v>
      </c>
      <c r="AP273">
        <v>26400</v>
      </c>
      <c r="AV273">
        <v>1.5</v>
      </c>
      <c r="AW273" t="s">
        <v>74</v>
      </c>
    </row>
    <row r="274" spans="1:49">
      <c r="A274" s="1">
        <f>HYPERLINK("https://cms.ls-nyc.org/matter/dynamic-profile/view/1892789","19-1892789")</f>
        <v>0</v>
      </c>
      <c r="B274" t="s">
        <v>56</v>
      </c>
      <c r="C274" t="s">
        <v>83</v>
      </c>
      <c r="D274" t="s">
        <v>134</v>
      </c>
      <c r="F274" t="s">
        <v>551</v>
      </c>
      <c r="G274" t="s">
        <v>1612</v>
      </c>
      <c r="H274" t="s">
        <v>2751</v>
      </c>
      <c r="I274" t="s">
        <v>3867</v>
      </c>
      <c r="J274" t="s">
        <v>4222</v>
      </c>
      <c r="K274">
        <v>11433</v>
      </c>
      <c r="L274" t="s">
        <v>4275</v>
      </c>
      <c r="M274" t="s">
        <v>4275</v>
      </c>
      <c r="N274" t="s">
        <v>4278</v>
      </c>
      <c r="O274" t="s">
        <v>4281</v>
      </c>
      <c r="P274" t="s">
        <v>4553</v>
      </c>
      <c r="Q274" t="s">
        <v>5732</v>
      </c>
      <c r="R274" t="s">
        <v>5751</v>
      </c>
      <c r="T274" t="s">
        <v>4276</v>
      </c>
      <c r="V274" t="s">
        <v>5767</v>
      </c>
      <c r="W274" t="s">
        <v>5772</v>
      </c>
      <c r="X274" t="s">
        <v>270</v>
      </c>
      <c r="Y274">
        <v>1227</v>
      </c>
      <c r="Z274" t="s">
        <v>5803</v>
      </c>
      <c r="AA274" t="s">
        <v>5805</v>
      </c>
      <c r="AC274" t="s">
        <v>6094</v>
      </c>
      <c r="AD274" t="s">
        <v>7414</v>
      </c>
      <c r="AE274" t="s">
        <v>8104</v>
      </c>
      <c r="AF274">
        <v>2</v>
      </c>
      <c r="AG274" t="s">
        <v>9269</v>
      </c>
      <c r="AH274" t="s">
        <v>9282</v>
      </c>
      <c r="AI274">
        <v>18</v>
      </c>
      <c r="AJ274">
        <v>2</v>
      </c>
      <c r="AK274">
        <v>0</v>
      </c>
      <c r="AL274">
        <v>106.45</v>
      </c>
      <c r="AO274" t="s">
        <v>9298</v>
      </c>
      <c r="AP274">
        <v>18000</v>
      </c>
      <c r="AV274">
        <v>26.45</v>
      </c>
      <c r="AW274" t="s">
        <v>54</v>
      </c>
    </row>
    <row r="275" spans="1:49">
      <c r="A275" s="1">
        <f>HYPERLINK("https://cms.ls-nyc.org/matter/dynamic-profile/view/1900706","19-1900706")</f>
        <v>0</v>
      </c>
      <c r="B275" t="s">
        <v>56</v>
      </c>
      <c r="C275" t="s">
        <v>83</v>
      </c>
      <c r="D275" t="s">
        <v>97</v>
      </c>
      <c r="F275" t="s">
        <v>552</v>
      </c>
      <c r="G275" t="s">
        <v>1613</v>
      </c>
      <c r="H275" t="s">
        <v>2752</v>
      </c>
      <c r="I275" t="s">
        <v>3902</v>
      </c>
      <c r="J275" t="s">
        <v>4225</v>
      </c>
      <c r="K275">
        <v>11385</v>
      </c>
      <c r="L275" t="s">
        <v>4275</v>
      </c>
      <c r="M275" t="s">
        <v>4277</v>
      </c>
      <c r="N275" t="s">
        <v>4278</v>
      </c>
      <c r="O275" t="s">
        <v>4281</v>
      </c>
      <c r="P275" t="s">
        <v>4554</v>
      </c>
      <c r="Q275" t="s">
        <v>5731</v>
      </c>
      <c r="R275" t="s">
        <v>5751</v>
      </c>
      <c r="T275" t="s">
        <v>4276</v>
      </c>
      <c r="V275" t="s">
        <v>5767</v>
      </c>
      <c r="W275" t="s">
        <v>5772</v>
      </c>
      <c r="Y275">
        <v>1490.65</v>
      </c>
      <c r="Z275" t="s">
        <v>5803</v>
      </c>
      <c r="AA275" t="s">
        <v>5805</v>
      </c>
      <c r="AC275" t="s">
        <v>6095</v>
      </c>
      <c r="AE275" t="s">
        <v>8105</v>
      </c>
      <c r="AF275">
        <v>6</v>
      </c>
      <c r="AG275" t="s">
        <v>9270</v>
      </c>
      <c r="AH275" t="s">
        <v>9282</v>
      </c>
      <c r="AI275">
        <v>10</v>
      </c>
      <c r="AJ275">
        <v>2</v>
      </c>
      <c r="AK275">
        <v>1</v>
      </c>
      <c r="AL275">
        <v>108.11</v>
      </c>
      <c r="AO275" t="s">
        <v>9298</v>
      </c>
      <c r="AP275">
        <v>23060.25</v>
      </c>
      <c r="AV275">
        <v>0.9</v>
      </c>
      <c r="AW275" t="s">
        <v>54</v>
      </c>
    </row>
    <row r="276" spans="1:49">
      <c r="A276" s="1">
        <f>HYPERLINK("https://cms.ls-nyc.org/matter/dynamic-profile/view/1889567","19-1889567")</f>
        <v>0</v>
      </c>
      <c r="B276" t="s">
        <v>56</v>
      </c>
      <c r="C276" t="s">
        <v>82</v>
      </c>
      <c r="D276" t="s">
        <v>171</v>
      </c>
      <c r="E276" t="s">
        <v>197</v>
      </c>
      <c r="F276" t="s">
        <v>553</v>
      </c>
      <c r="G276" t="s">
        <v>1614</v>
      </c>
      <c r="H276" t="s">
        <v>2753</v>
      </c>
      <c r="J276" t="s">
        <v>4246</v>
      </c>
      <c r="K276">
        <v>11694</v>
      </c>
      <c r="L276" t="s">
        <v>4275</v>
      </c>
      <c r="M276" t="s">
        <v>4275</v>
      </c>
      <c r="O276" t="s">
        <v>4282</v>
      </c>
      <c r="P276" t="s">
        <v>4555</v>
      </c>
      <c r="Q276" t="s">
        <v>5734</v>
      </c>
      <c r="R276" t="s">
        <v>5753</v>
      </c>
      <c r="S276" t="s">
        <v>5759</v>
      </c>
      <c r="T276" t="s">
        <v>4276</v>
      </c>
      <c r="V276" t="s">
        <v>5767</v>
      </c>
      <c r="W276" t="s">
        <v>5772</v>
      </c>
      <c r="X276" t="s">
        <v>109</v>
      </c>
      <c r="Y276">
        <v>219</v>
      </c>
      <c r="Z276" t="s">
        <v>5803</v>
      </c>
      <c r="AA276" t="s">
        <v>5804</v>
      </c>
      <c r="AB276" t="s">
        <v>5821</v>
      </c>
      <c r="AC276" t="s">
        <v>6096</v>
      </c>
      <c r="AE276" t="s">
        <v>8106</v>
      </c>
      <c r="AF276">
        <v>25</v>
      </c>
      <c r="AG276" t="s">
        <v>9270</v>
      </c>
      <c r="AH276" t="s">
        <v>4280</v>
      </c>
      <c r="AI276">
        <v>5</v>
      </c>
      <c r="AJ276">
        <v>2</v>
      </c>
      <c r="AK276">
        <v>0</v>
      </c>
      <c r="AL276">
        <v>109.43</v>
      </c>
      <c r="AO276" t="s">
        <v>1425</v>
      </c>
      <c r="AP276">
        <v>18504</v>
      </c>
      <c r="AV276">
        <v>1.25</v>
      </c>
      <c r="AW276" t="s">
        <v>54</v>
      </c>
    </row>
    <row r="277" spans="1:49">
      <c r="A277" s="1">
        <f>HYPERLINK("https://cms.ls-nyc.org/matter/dynamic-profile/view/1877991","18-1877991")</f>
        <v>0</v>
      </c>
      <c r="B277" t="s">
        <v>56</v>
      </c>
      <c r="C277" t="s">
        <v>83</v>
      </c>
      <c r="D277" t="s">
        <v>126</v>
      </c>
      <c r="F277" t="s">
        <v>554</v>
      </c>
      <c r="G277" t="s">
        <v>1615</v>
      </c>
      <c r="H277" t="s">
        <v>2754</v>
      </c>
      <c r="I277" t="s">
        <v>3909</v>
      </c>
      <c r="J277" t="s">
        <v>4222</v>
      </c>
      <c r="K277">
        <v>11434</v>
      </c>
      <c r="L277" t="s">
        <v>4275</v>
      </c>
      <c r="M277" t="s">
        <v>4275</v>
      </c>
      <c r="N277" t="s">
        <v>4278</v>
      </c>
      <c r="O277" t="s">
        <v>4281</v>
      </c>
      <c r="P277" t="s">
        <v>4556</v>
      </c>
      <c r="Q277" t="s">
        <v>5732</v>
      </c>
      <c r="R277" t="s">
        <v>5751</v>
      </c>
      <c r="T277" t="s">
        <v>4276</v>
      </c>
      <c r="V277" t="s">
        <v>5767</v>
      </c>
      <c r="W277" t="s">
        <v>5772</v>
      </c>
      <c r="X277" t="s">
        <v>126</v>
      </c>
      <c r="Y277">
        <v>0</v>
      </c>
      <c r="Z277" t="s">
        <v>5803</v>
      </c>
      <c r="AA277" t="s">
        <v>5804</v>
      </c>
      <c r="AC277" t="s">
        <v>6097</v>
      </c>
      <c r="AD277" t="s">
        <v>7415</v>
      </c>
      <c r="AE277" t="s">
        <v>8107</v>
      </c>
      <c r="AF277">
        <v>3</v>
      </c>
      <c r="AG277" t="s">
        <v>9269</v>
      </c>
      <c r="AH277" t="s">
        <v>4280</v>
      </c>
      <c r="AI277">
        <v>30</v>
      </c>
      <c r="AJ277">
        <v>1</v>
      </c>
      <c r="AK277">
        <v>0</v>
      </c>
      <c r="AL277">
        <v>109.83</v>
      </c>
      <c r="AO277" t="s">
        <v>1425</v>
      </c>
      <c r="AP277">
        <v>13333.56</v>
      </c>
      <c r="AR277" t="s">
        <v>9329</v>
      </c>
      <c r="AS277" t="s">
        <v>9344</v>
      </c>
      <c r="AT277" t="s">
        <v>9372</v>
      </c>
      <c r="AU277" t="s">
        <v>9438</v>
      </c>
      <c r="AV277">
        <v>64.45</v>
      </c>
      <c r="AW277" t="s">
        <v>73</v>
      </c>
    </row>
    <row r="278" spans="1:49">
      <c r="A278" s="1">
        <f>HYPERLINK("https://cms.ls-nyc.org/matter/dynamic-profile/view/1872939","18-1872939")</f>
        <v>0</v>
      </c>
      <c r="B278" t="s">
        <v>56</v>
      </c>
      <c r="C278" t="s">
        <v>82</v>
      </c>
      <c r="D278" t="s">
        <v>204</v>
      </c>
      <c r="E278" t="s">
        <v>86</v>
      </c>
      <c r="F278" t="s">
        <v>555</v>
      </c>
      <c r="G278" t="s">
        <v>1616</v>
      </c>
      <c r="H278" t="s">
        <v>2755</v>
      </c>
      <c r="I278" t="s">
        <v>3927</v>
      </c>
      <c r="J278" t="s">
        <v>4239</v>
      </c>
      <c r="K278">
        <v>11420</v>
      </c>
      <c r="L278" t="s">
        <v>4275</v>
      </c>
      <c r="M278" t="s">
        <v>4275</v>
      </c>
      <c r="O278" t="s">
        <v>4282</v>
      </c>
      <c r="P278" t="s">
        <v>4557</v>
      </c>
      <c r="Q278" t="s">
        <v>5734</v>
      </c>
      <c r="R278" t="s">
        <v>5751</v>
      </c>
      <c r="S278" t="s">
        <v>5764</v>
      </c>
      <c r="T278" t="s">
        <v>4276</v>
      </c>
      <c r="V278" t="s">
        <v>5767</v>
      </c>
      <c r="W278" t="s">
        <v>5776</v>
      </c>
      <c r="X278" t="s">
        <v>113</v>
      </c>
      <c r="Y278">
        <v>2500</v>
      </c>
      <c r="Z278" t="s">
        <v>5803</v>
      </c>
      <c r="AA278" t="s">
        <v>5807</v>
      </c>
      <c r="AB278" t="s">
        <v>5828</v>
      </c>
      <c r="AC278" t="s">
        <v>6098</v>
      </c>
      <c r="AD278" t="s">
        <v>4700</v>
      </c>
      <c r="AE278" t="s">
        <v>8108</v>
      </c>
      <c r="AF278">
        <v>1</v>
      </c>
      <c r="AG278" t="s">
        <v>9269</v>
      </c>
      <c r="AH278" t="s">
        <v>4280</v>
      </c>
      <c r="AI278">
        <v>6</v>
      </c>
      <c r="AJ278">
        <v>1</v>
      </c>
      <c r="AK278">
        <v>0</v>
      </c>
      <c r="AL278">
        <v>111.37</v>
      </c>
      <c r="AO278" t="s">
        <v>1425</v>
      </c>
      <c r="AP278">
        <v>13520</v>
      </c>
      <c r="AR278" t="s">
        <v>9332</v>
      </c>
      <c r="AS278" t="s">
        <v>5806</v>
      </c>
      <c r="AT278" t="s">
        <v>9370</v>
      </c>
      <c r="AU278" t="s">
        <v>9439</v>
      </c>
      <c r="AV278">
        <v>28.4</v>
      </c>
      <c r="AW278" t="s">
        <v>56</v>
      </c>
    </row>
    <row r="279" spans="1:49">
      <c r="A279" s="1">
        <f>HYPERLINK("https://cms.ls-nyc.org/matter/dynamic-profile/view/1874996","18-1874996")</f>
        <v>0</v>
      </c>
      <c r="B279" t="s">
        <v>56</v>
      </c>
      <c r="C279" t="s">
        <v>82</v>
      </c>
      <c r="D279" t="s">
        <v>118</v>
      </c>
      <c r="E279" t="s">
        <v>296</v>
      </c>
      <c r="F279" t="s">
        <v>556</v>
      </c>
      <c r="G279" t="s">
        <v>1450</v>
      </c>
      <c r="H279" t="s">
        <v>2756</v>
      </c>
      <c r="I279" t="s">
        <v>3962</v>
      </c>
      <c r="J279" t="s">
        <v>4241</v>
      </c>
      <c r="K279">
        <v>11368</v>
      </c>
      <c r="L279" t="s">
        <v>4275</v>
      </c>
      <c r="M279" t="s">
        <v>4275</v>
      </c>
      <c r="O279" t="s">
        <v>4282</v>
      </c>
      <c r="P279" t="s">
        <v>4558</v>
      </c>
      <c r="Q279" t="s">
        <v>5731</v>
      </c>
      <c r="R279" t="s">
        <v>5753</v>
      </c>
      <c r="S279" t="s">
        <v>5759</v>
      </c>
      <c r="T279" t="s">
        <v>4276</v>
      </c>
      <c r="V279" t="s">
        <v>5767</v>
      </c>
      <c r="W279" t="s">
        <v>5772</v>
      </c>
      <c r="X279" t="s">
        <v>118</v>
      </c>
      <c r="Y279">
        <v>1530.78</v>
      </c>
      <c r="Z279" t="s">
        <v>5803</v>
      </c>
      <c r="AA279" t="s">
        <v>5804</v>
      </c>
      <c r="AB279" t="s">
        <v>5821</v>
      </c>
      <c r="AC279" t="s">
        <v>6099</v>
      </c>
      <c r="AD279" t="s">
        <v>7416</v>
      </c>
      <c r="AE279" t="s">
        <v>8109</v>
      </c>
      <c r="AF279">
        <v>324</v>
      </c>
      <c r="AG279" t="s">
        <v>9269</v>
      </c>
      <c r="AH279" t="s">
        <v>5806</v>
      </c>
      <c r="AI279">
        <v>27</v>
      </c>
      <c r="AJ279">
        <v>2</v>
      </c>
      <c r="AK279">
        <v>1</v>
      </c>
      <c r="AL279">
        <v>113.09</v>
      </c>
      <c r="AO279" t="s">
        <v>1425</v>
      </c>
      <c r="AP279">
        <v>23500</v>
      </c>
      <c r="AV279">
        <v>1.1</v>
      </c>
      <c r="AW279" t="s">
        <v>54</v>
      </c>
    </row>
    <row r="280" spans="1:49">
      <c r="A280" s="1">
        <f>HYPERLINK("https://cms.ls-nyc.org/matter/dynamic-profile/view/1897877","19-1897877")</f>
        <v>0</v>
      </c>
      <c r="B280" t="s">
        <v>56</v>
      </c>
      <c r="C280" t="s">
        <v>82</v>
      </c>
      <c r="D280" t="s">
        <v>205</v>
      </c>
      <c r="E280" t="s">
        <v>99</v>
      </c>
      <c r="F280" t="s">
        <v>321</v>
      </c>
      <c r="G280" t="s">
        <v>1617</v>
      </c>
      <c r="H280" t="s">
        <v>2757</v>
      </c>
      <c r="I280" t="s">
        <v>3888</v>
      </c>
      <c r="J280" t="s">
        <v>4222</v>
      </c>
      <c r="K280">
        <v>11434</v>
      </c>
      <c r="L280" t="s">
        <v>4275</v>
      </c>
      <c r="M280" t="s">
        <v>4275</v>
      </c>
      <c r="N280" t="s">
        <v>4279</v>
      </c>
      <c r="O280" t="s">
        <v>4281</v>
      </c>
      <c r="P280" t="s">
        <v>4559</v>
      </c>
      <c r="Q280" t="s">
        <v>5731</v>
      </c>
      <c r="R280" t="s">
        <v>5753</v>
      </c>
      <c r="S280" t="s">
        <v>5759</v>
      </c>
      <c r="T280" t="s">
        <v>4276</v>
      </c>
      <c r="V280" t="s">
        <v>5767</v>
      </c>
      <c r="W280" t="s">
        <v>5772</v>
      </c>
      <c r="X280" t="s">
        <v>99</v>
      </c>
      <c r="Y280">
        <v>957</v>
      </c>
      <c r="Z280" t="s">
        <v>5803</v>
      </c>
      <c r="AA280" t="s">
        <v>5805</v>
      </c>
      <c r="AB280" t="s">
        <v>5821</v>
      </c>
      <c r="AC280" t="s">
        <v>6100</v>
      </c>
      <c r="AD280" t="s">
        <v>7417</v>
      </c>
      <c r="AE280" t="s">
        <v>8110</v>
      </c>
      <c r="AF280">
        <v>293</v>
      </c>
      <c r="AG280" t="s">
        <v>9273</v>
      </c>
      <c r="AH280" t="s">
        <v>9287</v>
      </c>
      <c r="AI280">
        <v>6</v>
      </c>
      <c r="AJ280">
        <v>1</v>
      </c>
      <c r="AK280">
        <v>0</v>
      </c>
      <c r="AL280">
        <v>113.18</v>
      </c>
      <c r="AO280" t="s">
        <v>1425</v>
      </c>
      <c r="AP280">
        <v>14136</v>
      </c>
      <c r="AV280">
        <v>2.4</v>
      </c>
      <c r="AW280" t="s">
        <v>56</v>
      </c>
    </row>
    <row r="281" spans="1:49">
      <c r="A281" s="1">
        <f>HYPERLINK("https://cms.ls-nyc.org/matter/dynamic-profile/view/1899260","19-1899260")</f>
        <v>0</v>
      </c>
      <c r="B281" t="s">
        <v>56</v>
      </c>
      <c r="C281" t="s">
        <v>82</v>
      </c>
      <c r="D281" t="s">
        <v>124</v>
      </c>
      <c r="E281" t="s">
        <v>87</v>
      </c>
      <c r="F281" t="s">
        <v>321</v>
      </c>
      <c r="G281" t="s">
        <v>1617</v>
      </c>
      <c r="H281" t="s">
        <v>2757</v>
      </c>
      <c r="I281" t="s">
        <v>3888</v>
      </c>
      <c r="J281" t="s">
        <v>4222</v>
      </c>
      <c r="K281">
        <v>11434</v>
      </c>
      <c r="L281" t="s">
        <v>4275</v>
      </c>
      <c r="M281" t="s">
        <v>4277</v>
      </c>
      <c r="N281" t="s">
        <v>4279</v>
      </c>
      <c r="O281" t="s">
        <v>4281</v>
      </c>
      <c r="P281" t="s">
        <v>4560</v>
      </c>
      <c r="Q281" t="s">
        <v>5731</v>
      </c>
      <c r="R281" t="s">
        <v>5751</v>
      </c>
      <c r="S281" t="s">
        <v>5758</v>
      </c>
      <c r="T281" t="s">
        <v>4276</v>
      </c>
      <c r="V281" t="s">
        <v>5767</v>
      </c>
      <c r="W281" t="s">
        <v>5772</v>
      </c>
      <c r="X281" t="s">
        <v>232</v>
      </c>
      <c r="Y281">
        <v>0</v>
      </c>
      <c r="Z281" t="s">
        <v>5803</v>
      </c>
      <c r="AA281" t="s">
        <v>5805</v>
      </c>
      <c r="AB281" t="s">
        <v>5820</v>
      </c>
      <c r="AC281" t="s">
        <v>6100</v>
      </c>
      <c r="AD281" t="s">
        <v>7417</v>
      </c>
      <c r="AE281" t="s">
        <v>8110</v>
      </c>
      <c r="AF281">
        <v>293</v>
      </c>
      <c r="AG281" t="s">
        <v>9273</v>
      </c>
      <c r="AH281" t="s">
        <v>9287</v>
      </c>
      <c r="AI281">
        <v>6</v>
      </c>
      <c r="AJ281">
        <v>1</v>
      </c>
      <c r="AK281">
        <v>0</v>
      </c>
      <c r="AL281">
        <v>113.18</v>
      </c>
      <c r="AO281" t="s">
        <v>1425</v>
      </c>
      <c r="AP281">
        <v>14136</v>
      </c>
      <c r="AS281" t="s">
        <v>9336</v>
      </c>
      <c r="AT281" t="s">
        <v>9369</v>
      </c>
      <c r="AU281" t="s">
        <v>9440</v>
      </c>
      <c r="AV281">
        <v>2.1</v>
      </c>
      <c r="AW281" t="s">
        <v>56</v>
      </c>
    </row>
    <row r="282" spans="1:49">
      <c r="A282" s="1">
        <f>HYPERLINK("https://cms.ls-nyc.org/matter/dynamic-profile/view/1890048","19-1890048")</f>
        <v>0</v>
      </c>
      <c r="B282" t="s">
        <v>56</v>
      </c>
      <c r="C282" t="s">
        <v>82</v>
      </c>
      <c r="D282" t="s">
        <v>175</v>
      </c>
      <c r="E282" t="s">
        <v>208</v>
      </c>
      <c r="F282" t="s">
        <v>546</v>
      </c>
      <c r="G282" t="s">
        <v>1618</v>
      </c>
      <c r="H282" t="s">
        <v>2758</v>
      </c>
      <c r="I282" t="s">
        <v>3856</v>
      </c>
      <c r="J282" t="s">
        <v>4251</v>
      </c>
      <c r="K282">
        <v>11377</v>
      </c>
      <c r="L282" t="s">
        <v>4275</v>
      </c>
      <c r="M282" t="s">
        <v>4275</v>
      </c>
      <c r="O282" t="s">
        <v>4282</v>
      </c>
      <c r="P282" t="s">
        <v>4561</v>
      </c>
      <c r="Q282" t="s">
        <v>5731</v>
      </c>
      <c r="R282" t="s">
        <v>5753</v>
      </c>
      <c r="S282" t="s">
        <v>5759</v>
      </c>
      <c r="T282" t="s">
        <v>4276</v>
      </c>
      <c r="V282" t="s">
        <v>5767</v>
      </c>
      <c r="W282" t="s">
        <v>5774</v>
      </c>
      <c r="X282" t="s">
        <v>165</v>
      </c>
      <c r="Y282">
        <v>1475</v>
      </c>
      <c r="Z282" t="s">
        <v>5803</v>
      </c>
      <c r="AA282" t="s">
        <v>5804</v>
      </c>
      <c r="AB282" t="s">
        <v>5821</v>
      </c>
      <c r="AC282" t="s">
        <v>6101</v>
      </c>
      <c r="AD282" t="s">
        <v>7418</v>
      </c>
      <c r="AE282" t="s">
        <v>8111</v>
      </c>
      <c r="AF282">
        <v>6</v>
      </c>
      <c r="AG282" t="s">
        <v>9272</v>
      </c>
      <c r="AH282" t="s">
        <v>4280</v>
      </c>
      <c r="AI282">
        <v>18</v>
      </c>
      <c r="AJ282">
        <v>1</v>
      </c>
      <c r="AK282">
        <v>1</v>
      </c>
      <c r="AL282">
        <v>114.39</v>
      </c>
      <c r="AO282" t="s">
        <v>1425</v>
      </c>
      <c r="AP282">
        <v>19344</v>
      </c>
      <c r="AV282">
        <v>1.2</v>
      </c>
      <c r="AW282" t="s">
        <v>74</v>
      </c>
    </row>
    <row r="283" spans="1:49">
      <c r="A283" s="1">
        <f>HYPERLINK("https://cms.ls-nyc.org/matter/dynamic-profile/view/1899963","19-1899963")</f>
        <v>0</v>
      </c>
      <c r="B283" t="s">
        <v>56</v>
      </c>
      <c r="C283" t="s">
        <v>82</v>
      </c>
      <c r="D283" t="s">
        <v>99</v>
      </c>
      <c r="E283" t="s">
        <v>217</v>
      </c>
      <c r="F283" t="s">
        <v>557</v>
      </c>
      <c r="G283" t="s">
        <v>1619</v>
      </c>
      <c r="H283" t="s">
        <v>2759</v>
      </c>
      <c r="I283" t="s">
        <v>3948</v>
      </c>
      <c r="J283" t="s">
        <v>4253</v>
      </c>
      <c r="K283">
        <v>11422</v>
      </c>
      <c r="L283" t="s">
        <v>4275</v>
      </c>
      <c r="M283" t="s">
        <v>4277</v>
      </c>
      <c r="N283" t="s">
        <v>4278</v>
      </c>
      <c r="O283" t="s">
        <v>4282</v>
      </c>
      <c r="P283" t="s">
        <v>4562</v>
      </c>
      <c r="Q283" t="s">
        <v>5732</v>
      </c>
      <c r="R283" t="s">
        <v>5753</v>
      </c>
      <c r="S283" t="s">
        <v>5759</v>
      </c>
      <c r="T283" t="s">
        <v>4276</v>
      </c>
      <c r="V283" t="s">
        <v>5767</v>
      </c>
      <c r="W283" t="s">
        <v>5772</v>
      </c>
      <c r="X283" t="s">
        <v>217</v>
      </c>
      <c r="Y283">
        <v>1700</v>
      </c>
      <c r="Z283" t="s">
        <v>5803</v>
      </c>
      <c r="AA283" t="s">
        <v>5804</v>
      </c>
      <c r="AB283" t="s">
        <v>5821</v>
      </c>
      <c r="AC283" t="s">
        <v>6102</v>
      </c>
      <c r="AE283" t="s">
        <v>8112</v>
      </c>
      <c r="AF283">
        <v>2</v>
      </c>
      <c r="AG283" t="s">
        <v>9269</v>
      </c>
      <c r="AH283" t="s">
        <v>4280</v>
      </c>
      <c r="AI283">
        <v>7</v>
      </c>
      <c r="AJ283">
        <v>2</v>
      </c>
      <c r="AK283">
        <v>2</v>
      </c>
      <c r="AL283">
        <v>118.28</v>
      </c>
      <c r="AO283" t="s">
        <v>1425</v>
      </c>
      <c r="AP283">
        <v>30456</v>
      </c>
      <c r="AV283">
        <v>1.5</v>
      </c>
      <c r="AW283" t="s">
        <v>9549</v>
      </c>
    </row>
    <row r="284" spans="1:49">
      <c r="A284" s="1">
        <f>HYPERLINK("https://cms.ls-nyc.org/matter/dynamic-profile/view/1887606","19-1887606")</f>
        <v>0</v>
      </c>
      <c r="B284" t="s">
        <v>56</v>
      </c>
      <c r="C284" t="s">
        <v>82</v>
      </c>
      <c r="D284" t="s">
        <v>136</v>
      </c>
      <c r="E284" t="s">
        <v>197</v>
      </c>
      <c r="F284" t="s">
        <v>558</v>
      </c>
      <c r="G284" t="s">
        <v>1620</v>
      </c>
      <c r="H284" t="s">
        <v>2760</v>
      </c>
      <c r="J284" t="s">
        <v>4250</v>
      </c>
      <c r="K284">
        <v>11412</v>
      </c>
      <c r="L284" t="s">
        <v>4275</v>
      </c>
      <c r="M284" t="s">
        <v>4275</v>
      </c>
      <c r="O284" t="s">
        <v>4282</v>
      </c>
      <c r="P284" t="s">
        <v>4563</v>
      </c>
      <c r="Q284" t="s">
        <v>5732</v>
      </c>
      <c r="R284" t="s">
        <v>5753</v>
      </c>
      <c r="S284" t="s">
        <v>5759</v>
      </c>
      <c r="T284" t="s">
        <v>4276</v>
      </c>
      <c r="V284" t="s">
        <v>5767</v>
      </c>
      <c r="W284" t="s">
        <v>5772</v>
      </c>
      <c r="X284" t="s">
        <v>136</v>
      </c>
      <c r="Y284">
        <v>550</v>
      </c>
      <c r="Z284" t="s">
        <v>5803</v>
      </c>
      <c r="AA284" t="s">
        <v>5804</v>
      </c>
      <c r="AB284" t="s">
        <v>5821</v>
      </c>
      <c r="AC284" t="s">
        <v>6103</v>
      </c>
      <c r="AD284" t="s">
        <v>7419</v>
      </c>
      <c r="AE284" t="s">
        <v>8113</v>
      </c>
      <c r="AF284">
        <v>2</v>
      </c>
      <c r="AG284" t="s">
        <v>9269</v>
      </c>
      <c r="AH284" t="s">
        <v>4280</v>
      </c>
      <c r="AI284">
        <v>5</v>
      </c>
      <c r="AJ284">
        <v>2</v>
      </c>
      <c r="AK284">
        <v>0</v>
      </c>
      <c r="AL284">
        <v>119.99</v>
      </c>
      <c r="AO284" t="s">
        <v>1425</v>
      </c>
      <c r="AP284">
        <v>19750</v>
      </c>
      <c r="AV284">
        <v>1.5</v>
      </c>
      <c r="AW284" t="s">
        <v>54</v>
      </c>
    </row>
    <row r="285" spans="1:49">
      <c r="A285" s="1">
        <f>HYPERLINK("https://cms.ls-nyc.org/matter/dynamic-profile/view/1899515","19-1899515")</f>
        <v>0</v>
      </c>
      <c r="B285" t="s">
        <v>56</v>
      </c>
      <c r="C285" t="s">
        <v>82</v>
      </c>
      <c r="D285" t="s">
        <v>124</v>
      </c>
      <c r="E285" t="s">
        <v>294</v>
      </c>
      <c r="F285" t="s">
        <v>559</v>
      </c>
      <c r="G285" t="s">
        <v>1621</v>
      </c>
      <c r="H285" t="s">
        <v>2761</v>
      </c>
      <c r="I285" t="s">
        <v>3861</v>
      </c>
      <c r="J285" t="s">
        <v>4222</v>
      </c>
      <c r="K285">
        <v>11433</v>
      </c>
      <c r="L285" t="s">
        <v>4275</v>
      </c>
      <c r="M285" t="s">
        <v>4277</v>
      </c>
      <c r="N285" t="s">
        <v>4278</v>
      </c>
      <c r="O285" t="s">
        <v>4281</v>
      </c>
      <c r="P285" t="s">
        <v>4564</v>
      </c>
      <c r="Q285" t="s">
        <v>5732</v>
      </c>
      <c r="R285" t="s">
        <v>5751</v>
      </c>
      <c r="S285" t="s">
        <v>5758</v>
      </c>
      <c r="T285" t="s">
        <v>4276</v>
      </c>
      <c r="V285" t="s">
        <v>5767</v>
      </c>
      <c r="W285" t="s">
        <v>5772</v>
      </c>
      <c r="X285" t="s">
        <v>298</v>
      </c>
      <c r="Y285">
        <v>1200</v>
      </c>
      <c r="Z285" t="s">
        <v>5803</v>
      </c>
      <c r="AA285" t="s">
        <v>5805</v>
      </c>
      <c r="AB285" t="s">
        <v>5820</v>
      </c>
      <c r="AC285" t="s">
        <v>6104</v>
      </c>
      <c r="AD285" t="s">
        <v>7420</v>
      </c>
      <c r="AE285" t="s">
        <v>8114</v>
      </c>
      <c r="AF285">
        <v>2</v>
      </c>
      <c r="AG285" t="s">
        <v>9269</v>
      </c>
      <c r="AH285" t="s">
        <v>4280</v>
      </c>
      <c r="AI285">
        <v>11</v>
      </c>
      <c r="AJ285">
        <v>4</v>
      </c>
      <c r="AK285">
        <v>0</v>
      </c>
      <c r="AL285">
        <v>120.04</v>
      </c>
      <c r="AO285" t="s">
        <v>1425</v>
      </c>
      <c r="AP285">
        <v>30910.8</v>
      </c>
      <c r="AS285" t="s">
        <v>9336</v>
      </c>
      <c r="AT285" t="s">
        <v>9369</v>
      </c>
      <c r="AU285" t="s">
        <v>9393</v>
      </c>
      <c r="AV285">
        <v>4.4</v>
      </c>
      <c r="AW285" t="s">
        <v>56</v>
      </c>
    </row>
    <row r="286" spans="1:49">
      <c r="A286" s="1">
        <f>HYPERLINK("https://cms.ls-nyc.org/matter/dynamic-profile/view/1873340","18-1873340")</f>
        <v>0</v>
      </c>
      <c r="B286" t="s">
        <v>56</v>
      </c>
      <c r="C286" t="s">
        <v>82</v>
      </c>
      <c r="D286" t="s">
        <v>153</v>
      </c>
      <c r="E286" t="s">
        <v>149</v>
      </c>
      <c r="F286" t="s">
        <v>560</v>
      </c>
      <c r="G286" t="s">
        <v>1622</v>
      </c>
      <c r="H286" t="s">
        <v>2762</v>
      </c>
      <c r="I286" t="s">
        <v>3963</v>
      </c>
      <c r="J286" t="s">
        <v>4258</v>
      </c>
      <c r="K286">
        <v>11370</v>
      </c>
      <c r="L286" t="s">
        <v>4275</v>
      </c>
      <c r="M286" t="s">
        <v>4275</v>
      </c>
      <c r="O286" t="s">
        <v>4282</v>
      </c>
      <c r="P286" t="s">
        <v>4565</v>
      </c>
      <c r="Q286" t="s">
        <v>5731</v>
      </c>
      <c r="R286" t="s">
        <v>5751</v>
      </c>
      <c r="S286" t="s">
        <v>5758</v>
      </c>
      <c r="T286" t="s">
        <v>4276</v>
      </c>
      <c r="V286" t="s">
        <v>5767</v>
      </c>
      <c r="W286" t="s">
        <v>5772</v>
      </c>
      <c r="X286" t="s">
        <v>153</v>
      </c>
      <c r="Y286">
        <v>1418</v>
      </c>
      <c r="Z286" t="s">
        <v>5803</v>
      </c>
      <c r="AA286" t="s">
        <v>5804</v>
      </c>
      <c r="AB286" t="s">
        <v>5820</v>
      </c>
      <c r="AC286" t="s">
        <v>6105</v>
      </c>
      <c r="AE286" t="s">
        <v>8115</v>
      </c>
      <c r="AF286">
        <v>24</v>
      </c>
      <c r="AG286" t="s">
        <v>9272</v>
      </c>
      <c r="AH286" t="s">
        <v>4280</v>
      </c>
      <c r="AI286">
        <v>20</v>
      </c>
      <c r="AJ286">
        <v>2</v>
      </c>
      <c r="AK286">
        <v>0</v>
      </c>
      <c r="AL286">
        <v>120.05</v>
      </c>
      <c r="AO286" t="s">
        <v>9298</v>
      </c>
      <c r="AP286">
        <v>19760</v>
      </c>
      <c r="AR286" t="s">
        <v>9329</v>
      </c>
      <c r="AS286" t="s">
        <v>9336</v>
      </c>
      <c r="AT286" t="s">
        <v>9369</v>
      </c>
      <c r="AU286" t="s">
        <v>9441</v>
      </c>
      <c r="AV286">
        <v>17.6</v>
      </c>
      <c r="AW286" t="s">
        <v>54</v>
      </c>
    </row>
    <row r="287" spans="1:49">
      <c r="A287" s="1">
        <f>HYPERLINK("https://cms.ls-nyc.org/matter/dynamic-profile/view/1882128","18-1882128")</f>
        <v>0</v>
      </c>
      <c r="B287" t="s">
        <v>56</v>
      </c>
      <c r="C287" t="s">
        <v>82</v>
      </c>
      <c r="D287" t="s">
        <v>130</v>
      </c>
      <c r="E287" t="s">
        <v>149</v>
      </c>
      <c r="F287" t="s">
        <v>561</v>
      </c>
      <c r="G287" t="s">
        <v>1623</v>
      </c>
      <c r="H287" t="s">
        <v>2763</v>
      </c>
      <c r="I287" t="s">
        <v>3964</v>
      </c>
      <c r="J287" t="s">
        <v>4252</v>
      </c>
      <c r="K287">
        <v>11374</v>
      </c>
      <c r="L287" t="s">
        <v>4275</v>
      </c>
      <c r="M287" t="s">
        <v>4275</v>
      </c>
      <c r="O287" t="s">
        <v>4282</v>
      </c>
      <c r="P287" t="s">
        <v>4566</v>
      </c>
      <c r="Q287" t="s">
        <v>5732</v>
      </c>
      <c r="R287" t="s">
        <v>5753</v>
      </c>
      <c r="S287" t="s">
        <v>5759</v>
      </c>
      <c r="T287" t="s">
        <v>4276</v>
      </c>
      <c r="V287" t="s">
        <v>5767</v>
      </c>
      <c r="W287" t="s">
        <v>5772</v>
      </c>
      <c r="X287" t="s">
        <v>130</v>
      </c>
      <c r="Y287">
        <v>2200</v>
      </c>
      <c r="Z287" t="s">
        <v>5803</v>
      </c>
      <c r="AA287" t="s">
        <v>5804</v>
      </c>
      <c r="AB287" t="s">
        <v>5821</v>
      </c>
      <c r="AC287" t="s">
        <v>5941</v>
      </c>
      <c r="AE287" t="s">
        <v>8116</v>
      </c>
      <c r="AF287">
        <v>6</v>
      </c>
      <c r="AG287" t="s">
        <v>9272</v>
      </c>
      <c r="AH287" t="s">
        <v>4280</v>
      </c>
      <c r="AI287">
        <v>2</v>
      </c>
      <c r="AJ287">
        <v>2</v>
      </c>
      <c r="AK287">
        <v>1</v>
      </c>
      <c r="AL287">
        <v>120.31</v>
      </c>
      <c r="AO287" t="s">
        <v>9270</v>
      </c>
      <c r="AP287">
        <v>25000</v>
      </c>
      <c r="AV287">
        <v>1.3</v>
      </c>
      <c r="AW287" t="s">
        <v>73</v>
      </c>
    </row>
    <row r="288" spans="1:49">
      <c r="A288" s="1">
        <f>HYPERLINK("https://cms.ls-nyc.org/matter/dynamic-profile/view/1890559","19-1890559")</f>
        <v>0</v>
      </c>
      <c r="B288" t="s">
        <v>56</v>
      </c>
      <c r="C288" t="s">
        <v>82</v>
      </c>
      <c r="D288" t="s">
        <v>109</v>
      </c>
      <c r="E288" t="s">
        <v>93</v>
      </c>
      <c r="F288" t="s">
        <v>562</v>
      </c>
      <c r="G288" t="s">
        <v>1624</v>
      </c>
      <c r="H288" t="s">
        <v>2764</v>
      </c>
      <c r="J288" t="s">
        <v>4222</v>
      </c>
      <c r="K288">
        <v>11433</v>
      </c>
      <c r="L288" t="s">
        <v>4275</v>
      </c>
      <c r="M288" t="s">
        <v>4275</v>
      </c>
      <c r="O288" t="s">
        <v>4281</v>
      </c>
      <c r="P288" t="s">
        <v>4567</v>
      </c>
      <c r="Q288" t="s">
        <v>5732</v>
      </c>
      <c r="R288" t="s">
        <v>5751</v>
      </c>
      <c r="S288" t="s">
        <v>5762</v>
      </c>
      <c r="T288" t="s">
        <v>4276</v>
      </c>
      <c r="V288" t="s">
        <v>5767</v>
      </c>
      <c r="W288" t="s">
        <v>5774</v>
      </c>
      <c r="X288" t="s">
        <v>273</v>
      </c>
      <c r="Y288">
        <v>1700</v>
      </c>
      <c r="Z288" t="s">
        <v>5803</v>
      </c>
      <c r="AA288" t="s">
        <v>5805</v>
      </c>
      <c r="AB288" t="s">
        <v>5822</v>
      </c>
      <c r="AC288" t="s">
        <v>6106</v>
      </c>
      <c r="AD288" t="s">
        <v>7421</v>
      </c>
      <c r="AE288" t="s">
        <v>8117</v>
      </c>
      <c r="AF288">
        <v>3</v>
      </c>
      <c r="AG288" t="s">
        <v>9269</v>
      </c>
      <c r="AH288" t="s">
        <v>4280</v>
      </c>
      <c r="AI288">
        <v>1</v>
      </c>
      <c r="AJ288">
        <v>2</v>
      </c>
      <c r="AK288">
        <v>2</v>
      </c>
      <c r="AL288">
        <v>124.27</v>
      </c>
      <c r="AO288" t="s">
        <v>1425</v>
      </c>
      <c r="AP288">
        <v>32000</v>
      </c>
      <c r="AR288" t="s">
        <v>9329</v>
      </c>
      <c r="AS288" t="s">
        <v>5806</v>
      </c>
      <c r="AT288" t="s">
        <v>9370</v>
      </c>
      <c r="AU288" t="s">
        <v>9425</v>
      </c>
      <c r="AV288">
        <v>2.35</v>
      </c>
      <c r="AW288" t="s">
        <v>56</v>
      </c>
    </row>
    <row r="289" spans="1:49">
      <c r="A289" s="1">
        <f>HYPERLINK("https://cms.ls-nyc.org/matter/dynamic-profile/view/1881176","18-1881176")</f>
        <v>0</v>
      </c>
      <c r="B289" t="s">
        <v>56</v>
      </c>
      <c r="C289" t="s">
        <v>82</v>
      </c>
      <c r="D289" t="s">
        <v>140</v>
      </c>
      <c r="E289" t="s">
        <v>247</v>
      </c>
      <c r="F289" t="s">
        <v>563</v>
      </c>
      <c r="G289" t="s">
        <v>1625</v>
      </c>
      <c r="H289" t="s">
        <v>2765</v>
      </c>
      <c r="I289" t="s">
        <v>3861</v>
      </c>
      <c r="J289" t="s">
        <v>4229</v>
      </c>
      <c r="K289">
        <v>11367</v>
      </c>
      <c r="L289" t="s">
        <v>4275</v>
      </c>
      <c r="M289" t="s">
        <v>4275</v>
      </c>
      <c r="O289" t="s">
        <v>4282</v>
      </c>
      <c r="P289" t="s">
        <v>4568</v>
      </c>
      <c r="Q289" t="s">
        <v>5731</v>
      </c>
      <c r="R289" t="s">
        <v>5753</v>
      </c>
      <c r="S289" t="s">
        <v>5759</v>
      </c>
      <c r="T289" t="s">
        <v>4276</v>
      </c>
      <c r="V289" t="s">
        <v>5768</v>
      </c>
      <c r="W289" t="s">
        <v>5776</v>
      </c>
      <c r="X289" t="s">
        <v>140</v>
      </c>
      <c r="Y289">
        <v>240</v>
      </c>
      <c r="Z289" t="s">
        <v>5803</v>
      </c>
      <c r="AA289" t="s">
        <v>5807</v>
      </c>
      <c r="AB289" t="s">
        <v>5821</v>
      </c>
      <c r="AC289" t="s">
        <v>6107</v>
      </c>
      <c r="AD289" t="s">
        <v>7422</v>
      </c>
      <c r="AE289" t="s">
        <v>8118</v>
      </c>
      <c r="AF289">
        <v>33</v>
      </c>
      <c r="AG289" t="s">
        <v>9271</v>
      </c>
      <c r="AH289" t="s">
        <v>4280</v>
      </c>
      <c r="AI289">
        <v>3</v>
      </c>
      <c r="AJ289">
        <v>2</v>
      </c>
      <c r="AK289">
        <v>0</v>
      </c>
      <c r="AL289">
        <v>125.28</v>
      </c>
      <c r="AO289" t="s">
        <v>1425</v>
      </c>
      <c r="AP289">
        <v>20620.8</v>
      </c>
      <c r="AV289">
        <v>0.95</v>
      </c>
      <c r="AW289" t="s">
        <v>73</v>
      </c>
    </row>
    <row r="290" spans="1:49">
      <c r="A290" s="1">
        <f>HYPERLINK("https://cms.ls-nyc.org/matter/dynamic-profile/view/1895580","19-1895580")</f>
        <v>0</v>
      </c>
      <c r="B290" t="s">
        <v>56</v>
      </c>
      <c r="C290" t="s">
        <v>82</v>
      </c>
      <c r="D290" t="s">
        <v>206</v>
      </c>
      <c r="E290" t="s">
        <v>123</v>
      </c>
      <c r="F290" t="s">
        <v>468</v>
      </c>
      <c r="G290" t="s">
        <v>1626</v>
      </c>
      <c r="H290" t="s">
        <v>2766</v>
      </c>
      <c r="I290" t="s">
        <v>3864</v>
      </c>
      <c r="J290" t="s">
        <v>4222</v>
      </c>
      <c r="K290">
        <v>11423</v>
      </c>
      <c r="L290" t="s">
        <v>4275</v>
      </c>
      <c r="M290" t="s">
        <v>4275</v>
      </c>
      <c r="O290" t="s">
        <v>4282</v>
      </c>
      <c r="P290" t="s">
        <v>4569</v>
      </c>
      <c r="Q290" t="s">
        <v>5732</v>
      </c>
      <c r="R290" t="s">
        <v>5753</v>
      </c>
      <c r="S290" t="s">
        <v>5759</v>
      </c>
      <c r="T290" t="s">
        <v>4276</v>
      </c>
      <c r="V290" t="s">
        <v>5767</v>
      </c>
      <c r="W290" t="s">
        <v>5771</v>
      </c>
      <c r="X290" t="s">
        <v>132</v>
      </c>
      <c r="Y290">
        <v>0</v>
      </c>
      <c r="Z290" t="s">
        <v>5803</v>
      </c>
      <c r="AA290" t="s">
        <v>5804</v>
      </c>
      <c r="AB290" t="s">
        <v>5821</v>
      </c>
      <c r="AC290" t="s">
        <v>6108</v>
      </c>
      <c r="AE290" t="s">
        <v>8119</v>
      </c>
      <c r="AF290">
        <v>3</v>
      </c>
      <c r="AG290" t="s">
        <v>9269</v>
      </c>
      <c r="AH290" t="s">
        <v>4280</v>
      </c>
      <c r="AI290">
        <v>10</v>
      </c>
      <c r="AJ290">
        <v>5</v>
      </c>
      <c r="AK290">
        <v>0</v>
      </c>
      <c r="AL290">
        <v>131.26</v>
      </c>
      <c r="AO290" t="s">
        <v>1425</v>
      </c>
      <c r="AP290">
        <v>39600</v>
      </c>
      <c r="AV290">
        <v>1.95</v>
      </c>
      <c r="AW290" t="s">
        <v>56</v>
      </c>
    </row>
    <row r="291" spans="1:49">
      <c r="A291" s="1">
        <f>HYPERLINK("https://cms.ls-nyc.org/matter/dynamic-profile/view/1872470","18-1872470")</f>
        <v>0</v>
      </c>
      <c r="B291" t="s">
        <v>56</v>
      </c>
      <c r="C291" t="s">
        <v>82</v>
      </c>
      <c r="D291" t="s">
        <v>195</v>
      </c>
      <c r="E291" t="s">
        <v>297</v>
      </c>
      <c r="F291" t="s">
        <v>564</v>
      </c>
      <c r="G291" t="s">
        <v>1627</v>
      </c>
      <c r="H291" t="s">
        <v>2767</v>
      </c>
      <c r="I291">
        <v>2</v>
      </c>
      <c r="J291" t="s">
        <v>4251</v>
      </c>
      <c r="K291">
        <v>11377</v>
      </c>
      <c r="L291" t="s">
        <v>4275</v>
      </c>
      <c r="M291" t="s">
        <v>4275</v>
      </c>
      <c r="O291" t="s">
        <v>4282</v>
      </c>
      <c r="P291" t="s">
        <v>4570</v>
      </c>
      <c r="Q291" t="s">
        <v>5732</v>
      </c>
      <c r="R291" t="s">
        <v>5753</v>
      </c>
      <c r="S291" t="s">
        <v>5759</v>
      </c>
      <c r="T291" t="s">
        <v>4276</v>
      </c>
      <c r="V291" t="s">
        <v>5767</v>
      </c>
      <c r="W291" t="s">
        <v>5771</v>
      </c>
      <c r="X291" t="s">
        <v>195</v>
      </c>
      <c r="Y291">
        <v>800</v>
      </c>
      <c r="Z291" t="s">
        <v>5803</v>
      </c>
      <c r="AA291" t="s">
        <v>5804</v>
      </c>
      <c r="AB291" t="s">
        <v>5821</v>
      </c>
      <c r="AC291" t="s">
        <v>6109</v>
      </c>
      <c r="AD291" t="s">
        <v>4700</v>
      </c>
      <c r="AE291" t="s">
        <v>8120</v>
      </c>
      <c r="AF291">
        <v>2</v>
      </c>
      <c r="AG291" t="s">
        <v>9269</v>
      </c>
      <c r="AH291" t="s">
        <v>4280</v>
      </c>
      <c r="AI291">
        <v>1</v>
      </c>
      <c r="AJ291">
        <v>1</v>
      </c>
      <c r="AK291">
        <v>0</v>
      </c>
      <c r="AL291">
        <v>131.8</v>
      </c>
      <c r="AO291" t="s">
        <v>1425</v>
      </c>
      <c r="AP291">
        <v>16000</v>
      </c>
      <c r="AV291">
        <v>0.6</v>
      </c>
      <c r="AW291" t="s">
        <v>54</v>
      </c>
    </row>
    <row r="292" spans="1:49">
      <c r="A292" s="1">
        <f>HYPERLINK("https://cms.ls-nyc.org/matter/dynamic-profile/view/1888343","19-1888343")</f>
        <v>0</v>
      </c>
      <c r="B292" t="s">
        <v>56</v>
      </c>
      <c r="C292" t="s">
        <v>82</v>
      </c>
      <c r="D292" t="s">
        <v>135</v>
      </c>
      <c r="E292" t="s">
        <v>197</v>
      </c>
      <c r="F292" t="s">
        <v>565</v>
      </c>
      <c r="G292" t="s">
        <v>1628</v>
      </c>
      <c r="H292" t="s">
        <v>2768</v>
      </c>
      <c r="J292" t="s">
        <v>4252</v>
      </c>
      <c r="K292">
        <v>11374</v>
      </c>
      <c r="L292" t="s">
        <v>4275</v>
      </c>
      <c r="M292" t="s">
        <v>4275</v>
      </c>
      <c r="O292" t="s">
        <v>4282</v>
      </c>
      <c r="P292" t="s">
        <v>4571</v>
      </c>
      <c r="Q292" t="s">
        <v>5732</v>
      </c>
      <c r="R292" t="s">
        <v>5753</v>
      </c>
      <c r="S292" t="s">
        <v>5759</v>
      </c>
      <c r="T292" t="s">
        <v>4276</v>
      </c>
      <c r="V292" t="s">
        <v>5767</v>
      </c>
      <c r="W292" t="s">
        <v>5772</v>
      </c>
      <c r="X292" t="s">
        <v>109</v>
      </c>
      <c r="Y292">
        <v>1750</v>
      </c>
      <c r="Z292" t="s">
        <v>5803</v>
      </c>
      <c r="AA292" t="s">
        <v>5804</v>
      </c>
      <c r="AB292" t="s">
        <v>5821</v>
      </c>
      <c r="AC292" t="s">
        <v>6110</v>
      </c>
      <c r="AE292" t="s">
        <v>8121</v>
      </c>
      <c r="AF292">
        <v>2</v>
      </c>
      <c r="AG292" t="s">
        <v>9269</v>
      </c>
      <c r="AH292" t="s">
        <v>4280</v>
      </c>
      <c r="AI292">
        <v>1</v>
      </c>
      <c r="AJ292">
        <v>4</v>
      </c>
      <c r="AK292">
        <v>2</v>
      </c>
      <c r="AL292">
        <v>133.37</v>
      </c>
      <c r="AO292" t="s">
        <v>1425</v>
      </c>
      <c r="AP292">
        <v>45000</v>
      </c>
      <c r="AV292">
        <v>0.9</v>
      </c>
      <c r="AW292" t="s">
        <v>54</v>
      </c>
    </row>
    <row r="293" spans="1:49">
      <c r="A293" s="1">
        <f>HYPERLINK("https://cms.ls-nyc.org/matter/dynamic-profile/view/1878080","18-1878080")</f>
        <v>0</v>
      </c>
      <c r="B293" t="s">
        <v>56</v>
      </c>
      <c r="C293" t="s">
        <v>82</v>
      </c>
      <c r="D293" t="s">
        <v>188</v>
      </c>
      <c r="E293" t="s">
        <v>221</v>
      </c>
      <c r="F293" t="s">
        <v>566</v>
      </c>
      <c r="G293" t="s">
        <v>1629</v>
      </c>
      <c r="H293" t="s">
        <v>2733</v>
      </c>
      <c r="I293" t="s">
        <v>3849</v>
      </c>
      <c r="J293" t="s">
        <v>4222</v>
      </c>
      <c r="K293">
        <v>11433</v>
      </c>
      <c r="L293" t="s">
        <v>4275</v>
      </c>
      <c r="M293" t="s">
        <v>4275</v>
      </c>
      <c r="O293" t="s">
        <v>4281</v>
      </c>
      <c r="P293" t="s">
        <v>4572</v>
      </c>
      <c r="Q293" t="s">
        <v>5732</v>
      </c>
      <c r="R293" t="s">
        <v>5751</v>
      </c>
      <c r="S293" t="s">
        <v>5758</v>
      </c>
      <c r="T293" t="s">
        <v>4276</v>
      </c>
      <c r="V293" t="s">
        <v>5767</v>
      </c>
      <c r="W293" t="s">
        <v>5772</v>
      </c>
      <c r="X293" t="s">
        <v>190</v>
      </c>
      <c r="Y293">
        <v>1000</v>
      </c>
      <c r="Z293" t="s">
        <v>5803</v>
      </c>
      <c r="AA293" t="s">
        <v>5805</v>
      </c>
      <c r="AB293" t="s">
        <v>5820</v>
      </c>
      <c r="AC293" t="s">
        <v>6111</v>
      </c>
      <c r="AE293" t="s">
        <v>8122</v>
      </c>
      <c r="AF293">
        <v>3</v>
      </c>
      <c r="AG293" t="s">
        <v>9269</v>
      </c>
      <c r="AH293" t="s">
        <v>4280</v>
      </c>
      <c r="AI293">
        <v>10</v>
      </c>
      <c r="AJ293">
        <v>1</v>
      </c>
      <c r="AK293">
        <v>0</v>
      </c>
      <c r="AL293">
        <v>134.43</v>
      </c>
      <c r="AO293" t="s">
        <v>1425</v>
      </c>
      <c r="AP293">
        <v>16320</v>
      </c>
      <c r="AR293" t="s">
        <v>9327</v>
      </c>
      <c r="AS293" t="s">
        <v>9348</v>
      </c>
      <c r="AT293" t="s">
        <v>9370</v>
      </c>
      <c r="AU293" t="s">
        <v>9442</v>
      </c>
      <c r="AV293">
        <v>7.4</v>
      </c>
      <c r="AW293" t="s">
        <v>60</v>
      </c>
    </row>
    <row r="294" spans="1:49">
      <c r="A294" s="1">
        <f>HYPERLINK("https://cms.ls-nyc.org/matter/dynamic-profile/view/1886721","18-1886721")</f>
        <v>0</v>
      </c>
      <c r="B294" t="s">
        <v>56</v>
      </c>
      <c r="C294" t="s">
        <v>82</v>
      </c>
      <c r="D294" t="s">
        <v>207</v>
      </c>
      <c r="E294" t="s">
        <v>98</v>
      </c>
      <c r="F294" t="s">
        <v>567</v>
      </c>
      <c r="G294" t="s">
        <v>1630</v>
      </c>
      <c r="H294" t="s">
        <v>2769</v>
      </c>
      <c r="J294" t="s">
        <v>4222</v>
      </c>
      <c r="K294">
        <v>11434</v>
      </c>
      <c r="L294" t="s">
        <v>4275</v>
      </c>
      <c r="M294" t="s">
        <v>4275</v>
      </c>
      <c r="O294" t="s">
        <v>4281</v>
      </c>
      <c r="P294" t="s">
        <v>4573</v>
      </c>
      <c r="Q294" t="s">
        <v>5732</v>
      </c>
      <c r="R294" t="s">
        <v>5753</v>
      </c>
      <c r="S294" t="s">
        <v>5759</v>
      </c>
      <c r="T294" t="s">
        <v>4275</v>
      </c>
      <c r="V294" t="s">
        <v>5767</v>
      </c>
      <c r="W294" t="s">
        <v>5772</v>
      </c>
      <c r="X294" t="s">
        <v>88</v>
      </c>
      <c r="Y294">
        <v>1200</v>
      </c>
      <c r="Z294" t="s">
        <v>5803</v>
      </c>
      <c r="AA294" t="s">
        <v>5805</v>
      </c>
      <c r="AB294" t="s">
        <v>5821</v>
      </c>
      <c r="AC294" t="s">
        <v>6112</v>
      </c>
      <c r="AE294" t="s">
        <v>8123</v>
      </c>
      <c r="AF294">
        <v>3</v>
      </c>
      <c r="AG294" t="s">
        <v>9269</v>
      </c>
      <c r="AH294" t="s">
        <v>4280</v>
      </c>
      <c r="AI294">
        <v>6</v>
      </c>
      <c r="AJ294">
        <v>2</v>
      </c>
      <c r="AK294">
        <v>2</v>
      </c>
      <c r="AL294">
        <v>135.46</v>
      </c>
      <c r="AO294" t="s">
        <v>1425</v>
      </c>
      <c r="AP294">
        <v>34000</v>
      </c>
      <c r="AV294">
        <v>2.2</v>
      </c>
      <c r="AW294" t="s">
        <v>56</v>
      </c>
    </row>
    <row r="295" spans="1:49">
      <c r="A295" s="1">
        <f>HYPERLINK("https://cms.ls-nyc.org/matter/dynamic-profile/view/1881204","18-1881204")</f>
        <v>0</v>
      </c>
      <c r="B295" t="s">
        <v>56</v>
      </c>
      <c r="C295" t="s">
        <v>82</v>
      </c>
      <c r="D295" t="s">
        <v>140</v>
      </c>
      <c r="E295" t="s">
        <v>221</v>
      </c>
      <c r="F295" t="s">
        <v>568</v>
      </c>
      <c r="G295" t="s">
        <v>1053</v>
      </c>
      <c r="H295" t="s">
        <v>2770</v>
      </c>
      <c r="I295" t="s">
        <v>3866</v>
      </c>
      <c r="J295" t="s">
        <v>4222</v>
      </c>
      <c r="K295">
        <v>11434</v>
      </c>
      <c r="L295" t="s">
        <v>4275</v>
      </c>
      <c r="M295" t="s">
        <v>4275</v>
      </c>
      <c r="O295" t="s">
        <v>4281</v>
      </c>
      <c r="P295" t="s">
        <v>4574</v>
      </c>
      <c r="Q295" t="s">
        <v>5732</v>
      </c>
      <c r="R295" t="s">
        <v>5753</v>
      </c>
      <c r="S295" t="s">
        <v>5759</v>
      </c>
      <c r="T295" t="s">
        <v>4276</v>
      </c>
      <c r="V295" t="s">
        <v>5767</v>
      </c>
      <c r="W295" t="s">
        <v>5772</v>
      </c>
      <c r="X295" t="s">
        <v>142</v>
      </c>
      <c r="Y295">
        <v>1400</v>
      </c>
      <c r="Z295" t="s">
        <v>5803</v>
      </c>
      <c r="AA295" t="s">
        <v>5804</v>
      </c>
      <c r="AB295" t="s">
        <v>5821</v>
      </c>
      <c r="AC295" t="s">
        <v>6113</v>
      </c>
      <c r="AD295" t="s">
        <v>7423</v>
      </c>
      <c r="AE295" t="s">
        <v>8124</v>
      </c>
      <c r="AF295">
        <v>3</v>
      </c>
      <c r="AG295" t="s">
        <v>9269</v>
      </c>
      <c r="AH295" t="s">
        <v>4280</v>
      </c>
      <c r="AI295">
        <v>16</v>
      </c>
      <c r="AJ295">
        <v>2</v>
      </c>
      <c r="AK295">
        <v>0</v>
      </c>
      <c r="AL295">
        <v>139.54</v>
      </c>
      <c r="AO295" t="s">
        <v>1425</v>
      </c>
      <c r="AP295">
        <v>22968</v>
      </c>
      <c r="AV295">
        <v>2.1</v>
      </c>
      <c r="AW295" t="s">
        <v>54</v>
      </c>
    </row>
    <row r="296" spans="1:49">
      <c r="A296" s="1">
        <f>HYPERLINK("https://cms.ls-nyc.org/matter/dynamic-profile/view/1877347","18-1877347")</f>
        <v>0</v>
      </c>
      <c r="B296" t="s">
        <v>56</v>
      </c>
      <c r="C296" t="s">
        <v>82</v>
      </c>
      <c r="D296" t="s">
        <v>181</v>
      </c>
      <c r="E296" t="s">
        <v>242</v>
      </c>
      <c r="F296" t="s">
        <v>569</v>
      </c>
      <c r="G296" t="s">
        <v>1631</v>
      </c>
      <c r="H296" t="s">
        <v>2771</v>
      </c>
      <c r="I296">
        <v>1</v>
      </c>
      <c r="J296" t="s">
        <v>4259</v>
      </c>
      <c r="K296">
        <v>11693</v>
      </c>
      <c r="L296" t="s">
        <v>4275</v>
      </c>
      <c r="M296" t="s">
        <v>4275</v>
      </c>
      <c r="O296" t="s">
        <v>4282</v>
      </c>
      <c r="P296" t="s">
        <v>4575</v>
      </c>
      <c r="Q296" t="s">
        <v>5731</v>
      </c>
      <c r="R296" t="s">
        <v>5753</v>
      </c>
      <c r="S296" t="s">
        <v>5759</v>
      </c>
      <c r="T296" t="s">
        <v>4276</v>
      </c>
      <c r="V296" t="s">
        <v>5767</v>
      </c>
      <c r="W296" t="s">
        <v>5772</v>
      </c>
      <c r="X296" t="s">
        <v>181</v>
      </c>
      <c r="Y296">
        <v>1650</v>
      </c>
      <c r="Z296" t="s">
        <v>5803</v>
      </c>
      <c r="AA296" t="s">
        <v>5804</v>
      </c>
      <c r="AB296" t="s">
        <v>5821</v>
      </c>
      <c r="AC296" t="s">
        <v>6114</v>
      </c>
      <c r="AD296" t="s">
        <v>4381</v>
      </c>
      <c r="AE296" t="s">
        <v>8125</v>
      </c>
      <c r="AF296">
        <v>3</v>
      </c>
      <c r="AG296" t="s">
        <v>9269</v>
      </c>
      <c r="AH296" t="s">
        <v>4280</v>
      </c>
      <c r="AI296">
        <v>3</v>
      </c>
      <c r="AJ296">
        <v>1</v>
      </c>
      <c r="AK296">
        <v>2</v>
      </c>
      <c r="AL296">
        <v>144.37</v>
      </c>
      <c r="AO296" t="s">
        <v>1425</v>
      </c>
      <c r="AP296">
        <v>30000</v>
      </c>
      <c r="AV296">
        <v>1.85</v>
      </c>
      <c r="AW296" t="s">
        <v>74</v>
      </c>
    </row>
    <row r="297" spans="1:49">
      <c r="A297" s="1">
        <f>HYPERLINK("https://cms.ls-nyc.org/matter/dynamic-profile/view/1874549","18-1874549")</f>
        <v>0</v>
      </c>
      <c r="B297" t="s">
        <v>56</v>
      </c>
      <c r="C297" t="s">
        <v>82</v>
      </c>
      <c r="D297" t="s">
        <v>103</v>
      </c>
      <c r="E297" t="s">
        <v>118</v>
      </c>
      <c r="F297" t="s">
        <v>570</v>
      </c>
      <c r="G297" t="s">
        <v>1632</v>
      </c>
      <c r="H297" t="s">
        <v>2772</v>
      </c>
      <c r="J297" t="s">
        <v>4222</v>
      </c>
      <c r="K297">
        <v>11434</v>
      </c>
      <c r="L297" t="s">
        <v>4275</v>
      </c>
      <c r="M297" t="s">
        <v>4275</v>
      </c>
      <c r="O297" t="s">
        <v>4281</v>
      </c>
      <c r="P297" t="s">
        <v>4576</v>
      </c>
      <c r="Q297" t="s">
        <v>5732</v>
      </c>
      <c r="R297" t="s">
        <v>5751</v>
      </c>
      <c r="S297" t="s">
        <v>5758</v>
      </c>
      <c r="T297" t="s">
        <v>4276</v>
      </c>
      <c r="V297" t="s">
        <v>5767</v>
      </c>
      <c r="W297" t="s">
        <v>5772</v>
      </c>
      <c r="X297" t="s">
        <v>103</v>
      </c>
      <c r="Y297">
        <v>0</v>
      </c>
      <c r="Z297" t="s">
        <v>5803</v>
      </c>
      <c r="AA297" t="s">
        <v>5805</v>
      </c>
      <c r="AB297" t="s">
        <v>5820</v>
      </c>
      <c r="AC297" t="s">
        <v>6115</v>
      </c>
      <c r="AD297" t="s">
        <v>4700</v>
      </c>
      <c r="AE297" t="s">
        <v>8126</v>
      </c>
      <c r="AF297">
        <v>2</v>
      </c>
      <c r="AG297" t="s">
        <v>9269</v>
      </c>
      <c r="AH297" t="s">
        <v>4280</v>
      </c>
      <c r="AI297">
        <v>2</v>
      </c>
      <c r="AJ297">
        <v>2</v>
      </c>
      <c r="AK297">
        <v>1</v>
      </c>
      <c r="AL297">
        <v>144.37</v>
      </c>
      <c r="AO297" t="s">
        <v>1425</v>
      </c>
      <c r="AP297">
        <v>30000</v>
      </c>
      <c r="AR297" t="s">
        <v>9329</v>
      </c>
      <c r="AS297" t="s">
        <v>9336</v>
      </c>
      <c r="AT297" t="s">
        <v>9369</v>
      </c>
      <c r="AU297" t="s">
        <v>9443</v>
      </c>
      <c r="AV297">
        <v>1.45</v>
      </c>
      <c r="AW297" t="s">
        <v>60</v>
      </c>
    </row>
    <row r="298" spans="1:49">
      <c r="A298" s="1">
        <f>HYPERLINK("https://cms.ls-nyc.org/matter/dynamic-profile/view/1880748","18-1880748")</f>
        <v>0</v>
      </c>
      <c r="B298" t="s">
        <v>56</v>
      </c>
      <c r="C298" t="s">
        <v>82</v>
      </c>
      <c r="D298" t="s">
        <v>84</v>
      </c>
      <c r="E298" t="s">
        <v>221</v>
      </c>
      <c r="F298" t="s">
        <v>571</v>
      </c>
      <c r="G298" t="s">
        <v>1633</v>
      </c>
      <c r="H298" t="s">
        <v>2773</v>
      </c>
      <c r="I298" t="s">
        <v>3839</v>
      </c>
      <c r="J298" t="s">
        <v>4226</v>
      </c>
      <c r="K298">
        <v>11385</v>
      </c>
      <c r="L298" t="s">
        <v>4275</v>
      </c>
      <c r="M298" t="s">
        <v>4275</v>
      </c>
      <c r="O298" t="s">
        <v>4281</v>
      </c>
      <c r="P298" t="s">
        <v>4577</v>
      </c>
      <c r="Q298" t="s">
        <v>5731</v>
      </c>
      <c r="R298" t="s">
        <v>5751</v>
      </c>
      <c r="S298" t="s">
        <v>5758</v>
      </c>
      <c r="T298" t="s">
        <v>4276</v>
      </c>
      <c r="V298" t="s">
        <v>5767</v>
      </c>
      <c r="W298" t="s">
        <v>5774</v>
      </c>
      <c r="X298" t="s">
        <v>84</v>
      </c>
      <c r="Y298">
        <v>1550</v>
      </c>
      <c r="Z298" t="s">
        <v>5803</v>
      </c>
      <c r="AA298" t="s">
        <v>5804</v>
      </c>
      <c r="AB298" t="s">
        <v>5820</v>
      </c>
      <c r="AC298" t="s">
        <v>6116</v>
      </c>
      <c r="AE298" t="s">
        <v>8127</v>
      </c>
      <c r="AF298">
        <v>2</v>
      </c>
      <c r="AG298" t="s">
        <v>9270</v>
      </c>
      <c r="AH298" t="s">
        <v>4280</v>
      </c>
      <c r="AI298">
        <v>2</v>
      </c>
      <c r="AJ298">
        <v>1</v>
      </c>
      <c r="AK298">
        <v>3</v>
      </c>
      <c r="AL298">
        <v>149.4</v>
      </c>
      <c r="AO298" t="s">
        <v>1425</v>
      </c>
      <c r="AP298">
        <v>37500</v>
      </c>
      <c r="AS298" t="s">
        <v>9336</v>
      </c>
      <c r="AT298" t="s">
        <v>9369</v>
      </c>
      <c r="AU298" t="s">
        <v>9444</v>
      </c>
      <c r="AV298">
        <v>9.800000000000001</v>
      </c>
      <c r="AW298" t="s">
        <v>54</v>
      </c>
    </row>
    <row r="299" spans="1:49">
      <c r="A299" s="1">
        <f>HYPERLINK("https://cms.ls-nyc.org/matter/dynamic-profile/view/1896133","19-1896133")</f>
        <v>0</v>
      </c>
      <c r="B299" t="s">
        <v>56</v>
      </c>
      <c r="C299" t="s">
        <v>83</v>
      </c>
      <c r="D299" t="s">
        <v>132</v>
      </c>
      <c r="F299" t="s">
        <v>572</v>
      </c>
      <c r="G299" t="s">
        <v>1634</v>
      </c>
      <c r="H299" t="s">
        <v>2774</v>
      </c>
      <c r="I299" t="s">
        <v>3856</v>
      </c>
      <c r="J299" t="s">
        <v>4225</v>
      </c>
      <c r="K299">
        <v>11385</v>
      </c>
      <c r="L299" t="s">
        <v>4275</v>
      </c>
      <c r="M299" t="s">
        <v>4275</v>
      </c>
      <c r="O299" t="s">
        <v>4281</v>
      </c>
      <c r="P299" t="s">
        <v>4578</v>
      </c>
      <c r="Q299" t="s">
        <v>5732</v>
      </c>
      <c r="R299" t="s">
        <v>5751</v>
      </c>
      <c r="T299" t="s">
        <v>4276</v>
      </c>
      <c r="V299" t="s">
        <v>5767</v>
      </c>
      <c r="W299" t="s">
        <v>5772</v>
      </c>
      <c r="Y299">
        <v>1200</v>
      </c>
      <c r="Z299" t="s">
        <v>5803</v>
      </c>
      <c r="AA299" t="s">
        <v>5805</v>
      </c>
      <c r="AC299" t="s">
        <v>6117</v>
      </c>
      <c r="AE299" t="s">
        <v>8128</v>
      </c>
      <c r="AF299">
        <v>5</v>
      </c>
      <c r="AG299" t="s">
        <v>9269</v>
      </c>
      <c r="AH299" t="s">
        <v>4280</v>
      </c>
      <c r="AI299">
        <v>26</v>
      </c>
      <c r="AJ299">
        <v>2</v>
      </c>
      <c r="AK299">
        <v>0</v>
      </c>
      <c r="AL299">
        <v>149.62</v>
      </c>
      <c r="AO299" t="s">
        <v>1425</v>
      </c>
      <c r="AP299">
        <v>25300</v>
      </c>
      <c r="AV299">
        <v>12.15</v>
      </c>
      <c r="AW299" t="s">
        <v>54</v>
      </c>
    </row>
    <row r="300" spans="1:49">
      <c r="A300" s="1">
        <f>HYPERLINK("https://cms.ls-nyc.org/matter/dynamic-profile/view/1877301","18-1877301")</f>
        <v>0</v>
      </c>
      <c r="B300" t="s">
        <v>56</v>
      </c>
      <c r="C300" t="s">
        <v>82</v>
      </c>
      <c r="D300" t="s">
        <v>181</v>
      </c>
      <c r="E300" t="s">
        <v>181</v>
      </c>
      <c r="F300" t="s">
        <v>573</v>
      </c>
      <c r="G300" t="s">
        <v>1635</v>
      </c>
      <c r="H300" t="s">
        <v>2775</v>
      </c>
      <c r="J300" t="s">
        <v>4241</v>
      </c>
      <c r="K300">
        <v>11368</v>
      </c>
      <c r="L300" t="s">
        <v>4275</v>
      </c>
      <c r="M300" t="s">
        <v>4275</v>
      </c>
      <c r="O300" t="s">
        <v>4282</v>
      </c>
      <c r="P300" t="s">
        <v>4579</v>
      </c>
      <c r="Q300" t="s">
        <v>5732</v>
      </c>
      <c r="R300" t="s">
        <v>5753</v>
      </c>
      <c r="S300" t="s">
        <v>5759</v>
      </c>
      <c r="T300" t="s">
        <v>5765</v>
      </c>
      <c r="V300" t="s">
        <v>5767</v>
      </c>
      <c r="W300" t="s">
        <v>5774</v>
      </c>
      <c r="X300" t="s">
        <v>181</v>
      </c>
      <c r="Y300">
        <v>1500</v>
      </c>
      <c r="Z300" t="s">
        <v>5803</v>
      </c>
      <c r="AA300" t="s">
        <v>5804</v>
      </c>
      <c r="AB300" t="s">
        <v>5821</v>
      </c>
      <c r="AC300" t="s">
        <v>6118</v>
      </c>
      <c r="AD300" t="s">
        <v>7424</v>
      </c>
      <c r="AE300" t="s">
        <v>8129</v>
      </c>
      <c r="AF300">
        <v>2</v>
      </c>
      <c r="AG300" t="s">
        <v>9269</v>
      </c>
      <c r="AH300" t="s">
        <v>4280</v>
      </c>
      <c r="AI300">
        <v>3</v>
      </c>
      <c r="AJ300">
        <v>2</v>
      </c>
      <c r="AK300">
        <v>2</v>
      </c>
      <c r="AL300">
        <v>151.39</v>
      </c>
      <c r="AO300" t="s">
        <v>1425</v>
      </c>
      <c r="AP300">
        <v>38000</v>
      </c>
      <c r="AV300">
        <v>1.6</v>
      </c>
      <c r="AW300" t="s">
        <v>74</v>
      </c>
    </row>
    <row r="301" spans="1:49">
      <c r="A301" s="1">
        <f>HYPERLINK("https://cms.ls-nyc.org/matter/dynamic-profile/view/1898077","19-1898077")</f>
        <v>0</v>
      </c>
      <c r="B301" t="s">
        <v>56</v>
      </c>
      <c r="C301" t="s">
        <v>82</v>
      </c>
      <c r="D301" t="s">
        <v>208</v>
      </c>
      <c r="E301" t="s">
        <v>95</v>
      </c>
      <c r="F301" t="s">
        <v>574</v>
      </c>
      <c r="G301" t="s">
        <v>1636</v>
      </c>
      <c r="H301" t="s">
        <v>2776</v>
      </c>
      <c r="I301" t="s">
        <v>3909</v>
      </c>
      <c r="J301" t="s">
        <v>4238</v>
      </c>
      <c r="K301">
        <v>11413</v>
      </c>
      <c r="L301" t="s">
        <v>4275</v>
      </c>
      <c r="M301" t="s">
        <v>4275</v>
      </c>
      <c r="O301" t="s">
        <v>4282</v>
      </c>
      <c r="P301" t="s">
        <v>4580</v>
      </c>
      <c r="Q301" t="s">
        <v>5732</v>
      </c>
      <c r="R301" t="s">
        <v>5753</v>
      </c>
      <c r="S301" t="s">
        <v>5759</v>
      </c>
      <c r="T301" t="s">
        <v>4276</v>
      </c>
      <c r="V301" t="s">
        <v>5767</v>
      </c>
      <c r="W301" t="s">
        <v>5774</v>
      </c>
      <c r="X301" t="s">
        <v>208</v>
      </c>
      <c r="Y301">
        <v>2625</v>
      </c>
      <c r="Z301" t="s">
        <v>5803</v>
      </c>
      <c r="AA301" t="s">
        <v>5804</v>
      </c>
      <c r="AB301" t="s">
        <v>5821</v>
      </c>
      <c r="AC301" t="s">
        <v>6119</v>
      </c>
      <c r="AE301" t="s">
        <v>8130</v>
      </c>
      <c r="AF301">
        <v>3</v>
      </c>
      <c r="AG301" t="s">
        <v>9269</v>
      </c>
      <c r="AH301" t="s">
        <v>4280</v>
      </c>
      <c r="AI301">
        <v>2</v>
      </c>
      <c r="AJ301">
        <v>2</v>
      </c>
      <c r="AK301">
        <v>2</v>
      </c>
      <c r="AL301">
        <v>155.34</v>
      </c>
      <c r="AO301" t="s">
        <v>9312</v>
      </c>
      <c r="AP301">
        <v>40000</v>
      </c>
      <c r="AV301">
        <v>1.65</v>
      </c>
      <c r="AW301" t="s">
        <v>56</v>
      </c>
    </row>
    <row r="302" spans="1:49">
      <c r="A302" s="1">
        <f>HYPERLINK("https://cms.ls-nyc.org/matter/dynamic-profile/view/1888210","19-1888210")</f>
        <v>0</v>
      </c>
      <c r="B302" t="s">
        <v>56</v>
      </c>
      <c r="C302" t="s">
        <v>82</v>
      </c>
      <c r="D302" t="s">
        <v>144</v>
      </c>
      <c r="E302" t="s">
        <v>275</v>
      </c>
      <c r="F302" t="s">
        <v>575</v>
      </c>
      <c r="G302" t="s">
        <v>1607</v>
      </c>
      <c r="H302" t="s">
        <v>2777</v>
      </c>
      <c r="I302" t="s">
        <v>3952</v>
      </c>
      <c r="J302" t="s">
        <v>4222</v>
      </c>
      <c r="K302">
        <v>11433</v>
      </c>
      <c r="L302" t="s">
        <v>4275</v>
      </c>
      <c r="M302" t="s">
        <v>4275</v>
      </c>
      <c r="O302" t="s">
        <v>4281</v>
      </c>
      <c r="P302" t="s">
        <v>4581</v>
      </c>
      <c r="Q302" t="s">
        <v>5732</v>
      </c>
      <c r="R302" t="s">
        <v>5751</v>
      </c>
      <c r="S302" t="s">
        <v>5758</v>
      </c>
      <c r="T302" t="s">
        <v>4276</v>
      </c>
      <c r="V302" t="s">
        <v>5767</v>
      </c>
      <c r="W302" t="s">
        <v>5772</v>
      </c>
      <c r="X302" t="s">
        <v>106</v>
      </c>
      <c r="Y302">
        <v>1500</v>
      </c>
      <c r="Z302" t="s">
        <v>5803</v>
      </c>
      <c r="AA302" t="s">
        <v>5805</v>
      </c>
      <c r="AB302" t="s">
        <v>5822</v>
      </c>
      <c r="AC302" t="s">
        <v>6120</v>
      </c>
      <c r="AE302" t="s">
        <v>8131</v>
      </c>
      <c r="AF302">
        <v>2</v>
      </c>
      <c r="AG302" t="s">
        <v>9269</v>
      </c>
      <c r="AH302" t="s">
        <v>4280</v>
      </c>
      <c r="AI302">
        <v>5</v>
      </c>
      <c r="AJ302">
        <v>3</v>
      </c>
      <c r="AK302">
        <v>1</v>
      </c>
      <c r="AL302">
        <v>157.65</v>
      </c>
      <c r="AO302" t="s">
        <v>1425</v>
      </c>
      <c r="AP302">
        <v>39571</v>
      </c>
      <c r="AR302" t="s">
        <v>9327</v>
      </c>
      <c r="AS302" t="s">
        <v>5806</v>
      </c>
      <c r="AT302" t="s">
        <v>9370</v>
      </c>
      <c r="AU302" t="s">
        <v>9381</v>
      </c>
      <c r="AV302">
        <v>7.8</v>
      </c>
      <c r="AW302" t="s">
        <v>60</v>
      </c>
    </row>
    <row r="303" spans="1:49">
      <c r="A303" s="1">
        <f>HYPERLINK("https://cms.ls-nyc.org/matter/dynamic-profile/view/1897569","19-1897569")</f>
        <v>0</v>
      </c>
      <c r="B303" t="s">
        <v>56</v>
      </c>
      <c r="C303" t="s">
        <v>82</v>
      </c>
      <c r="D303" t="s">
        <v>107</v>
      </c>
      <c r="E303" t="s">
        <v>217</v>
      </c>
      <c r="F303" t="s">
        <v>576</v>
      </c>
      <c r="G303" t="s">
        <v>1637</v>
      </c>
      <c r="H303" t="s">
        <v>2778</v>
      </c>
      <c r="J303" t="s">
        <v>4222</v>
      </c>
      <c r="K303">
        <v>11434</v>
      </c>
      <c r="L303" t="s">
        <v>4275</v>
      </c>
      <c r="M303" t="s">
        <v>4275</v>
      </c>
      <c r="N303" t="s">
        <v>4278</v>
      </c>
      <c r="O303" t="s">
        <v>4281</v>
      </c>
      <c r="P303" t="s">
        <v>4582</v>
      </c>
      <c r="Q303" t="s">
        <v>5732</v>
      </c>
      <c r="R303" t="s">
        <v>5753</v>
      </c>
      <c r="S303" t="s">
        <v>5759</v>
      </c>
      <c r="T303" t="s">
        <v>4276</v>
      </c>
      <c r="V303" t="s">
        <v>5767</v>
      </c>
      <c r="W303" t="s">
        <v>5772</v>
      </c>
      <c r="X303" t="s">
        <v>217</v>
      </c>
      <c r="Y303">
        <v>1100</v>
      </c>
      <c r="Z303" t="s">
        <v>5803</v>
      </c>
      <c r="AA303" t="s">
        <v>5805</v>
      </c>
      <c r="AB303" t="s">
        <v>5821</v>
      </c>
      <c r="AC303" t="s">
        <v>6121</v>
      </c>
      <c r="AE303" t="s">
        <v>8132</v>
      </c>
      <c r="AF303">
        <v>2</v>
      </c>
      <c r="AG303" t="s">
        <v>9269</v>
      </c>
      <c r="AH303" t="s">
        <v>4280</v>
      </c>
      <c r="AI303">
        <v>3</v>
      </c>
      <c r="AJ303">
        <v>1</v>
      </c>
      <c r="AK303">
        <v>3</v>
      </c>
      <c r="AL303">
        <v>161.55</v>
      </c>
      <c r="AO303" t="s">
        <v>9298</v>
      </c>
      <c r="AP303">
        <v>41600</v>
      </c>
      <c r="AV303">
        <v>2.4</v>
      </c>
      <c r="AW303" t="s">
        <v>56</v>
      </c>
    </row>
    <row r="304" spans="1:49">
      <c r="A304" s="1">
        <f>HYPERLINK("https://cms.ls-nyc.org/matter/dynamic-profile/view/1875032","18-1875032")</f>
        <v>0</v>
      </c>
      <c r="B304" t="s">
        <v>56</v>
      </c>
      <c r="C304" t="s">
        <v>82</v>
      </c>
      <c r="D304" t="s">
        <v>118</v>
      </c>
      <c r="E304" t="s">
        <v>122</v>
      </c>
      <c r="F304" t="s">
        <v>577</v>
      </c>
      <c r="G304" t="s">
        <v>872</v>
      </c>
      <c r="H304" t="s">
        <v>2779</v>
      </c>
      <c r="I304" t="s">
        <v>3965</v>
      </c>
      <c r="J304" t="s">
        <v>4227</v>
      </c>
      <c r="K304">
        <v>11365</v>
      </c>
      <c r="L304" t="s">
        <v>4275</v>
      </c>
      <c r="M304" t="s">
        <v>4275</v>
      </c>
      <c r="O304" t="s">
        <v>4282</v>
      </c>
      <c r="P304" t="s">
        <v>4583</v>
      </c>
      <c r="Q304" t="s">
        <v>5732</v>
      </c>
      <c r="R304" t="s">
        <v>5753</v>
      </c>
      <c r="S304" t="s">
        <v>5759</v>
      </c>
      <c r="T304" t="s">
        <v>4276</v>
      </c>
      <c r="V304" t="s">
        <v>5767</v>
      </c>
      <c r="W304" t="s">
        <v>5772</v>
      </c>
      <c r="X304" t="s">
        <v>118</v>
      </c>
      <c r="Y304">
        <v>2000</v>
      </c>
      <c r="Z304" t="s">
        <v>5803</v>
      </c>
      <c r="AA304" t="s">
        <v>5804</v>
      </c>
      <c r="AB304" t="s">
        <v>5821</v>
      </c>
      <c r="AC304" t="s">
        <v>6122</v>
      </c>
      <c r="AD304" t="s">
        <v>4700</v>
      </c>
      <c r="AE304" t="s">
        <v>8133</v>
      </c>
      <c r="AF304">
        <v>3</v>
      </c>
      <c r="AG304" t="s">
        <v>9269</v>
      </c>
      <c r="AH304" t="s">
        <v>4280</v>
      </c>
      <c r="AI304">
        <v>1</v>
      </c>
      <c r="AJ304">
        <v>2</v>
      </c>
      <c r="AK304">
        <v>3</v>
      </c>
      <c r="AL304">
        <v>163.15</v>
      </c>
      <c r="AO304" t="s">
        <v>1425</v>
      </c>
      <c r="AP304">
        <v>48000</v>
      </c>
      <c r="AV304">
        <v>0.8</v>
      </c>
      <c r="AW304" t="s">
        <v>54</v>
      </c>
    </row>
    <row r="305" spans="1:49">
      <c r="A305" s="1">
        <f>HYPERLINK("https://cms.ls-nyc.org/matter/dynamic-profile/view/1882148","18-1882148")</f>
        <v>0</v>
      </c>
      <c r="B305" t="s">
        <v>56</v>
      </c>
      <c r="C305" t="s">
        <v>82</v>
      </c>
      <c r="D305" t="s">
        <v>130</v>
      </c>
      <c r="E305" t="s">
        <v>253</v>
      </c>
      <c r="F305" t="s">
        <v>578</v>
      </c>
      <c r="G305" t="s">
        <v>1638</v>
      </c>
      <c r="H305" t="s">
        <v>2780</v>
      </c>
      <c r="I305" t="s">
        <v>3878</v>
      </c>
      <c r="J305" t="s">
        <v>4245</v>
      </c>
      <c r="K305">
        <v>11418</v>
      </c>
      <c r="L305" t="s">
        <v>4275</v>
      </c>
      <c r="M305" t="s">
        <v>4275</v>
      </c>
      <c r="O305" t="s">
        <v>4282</v>
      </c>
      <c r="P305" t="s">
        <v>4584</v>
      </c>
      <c r="Q305" t="s">
        <v>5732</v>
      </c>
      <c r="R305" t="s">
        <v>5753</v>
      </c>
      <c r="S305" t="s">
        <v>5759</v>
      </c>
      <c r="T305" t="s">
        <v>4276</v>
      </c>
      <c r="V305" t="s">
        <v>5767</v>
      </c>
      <c r="W305" t="s">
        <v>5772</v>
      </c>
      <c r="X305" t="s">
        <v>130</v>
      </c>
      <c r="Y305">
        <v>800</v>
      </c>
      <c r="Z305" t="s">
        <v>5803</v>
      </c>
      <c r="AA305" t="s">
        <v>5804</v>
      </c>
      <c r="AB305" t="s">
        <v>5821</v>
      </c>
      <c r="AC305" t="s">
        <v>6123</v>
      </c>
      <c r="AE305" t="s">
        <v>8134</v>
      </c>
      <c r="AF305">
        <v>3</v>
      </c>
      <c r="AG305" t="s">
        <v>9269</v>
      </c>
      <c r="AH305" t="s">
        <v>4280</v>
      </c>
      <c r="AI305">
        <v>14</v>
      </c>
      <c r="AJ305">
        <v>1</v>
      </c>
      <c r="AK305">
        <v>0</v>
      </c>
      <c r="AL305">
        <v>164.74</v>
      </c>
      <c r="AO305" t="s">
        <v>1425</v>
      </c>
      <c r="AP305">
        <v>20000</v>
      </c>
      <c r="AV305">
        <v>1</v>
      </c>
      <c r="AW305" t="s">
        <v>73</v>
      </c>
    </row>
    <row r="306" spans="1:49">
      <c r="A306" s="1">
        <f>HYPERLINK("https://cms.ls-nyc.org/matter/dynamic-profile/view/1883578","18-1883578")</f>
        <v>0</v>
      </c>
      <c r="B306" t="s">
        <v>56</v>
      </c>
      <c r="C306" t="s">
        <v>82</v>
      </c>
      <c r="D306" t="s">
        <v>186</v>
      </c>
      <c r="E306" t="s">
        <v>221</v>
      </c>
      <c r="F306" t="s">
        <v>408</v>
      </c>
      <c r="G306" t="s">
        <v>1639</v>
      </c>
      <c r="H306" t="s">
        <v>2781</v>
      </c>
      <c r="I306" t="s">
        <v>3966</v>
      </c>
      <c r="J306" t="s">
        <v>4244</v>
      </c>
      <c r="K306">
        <v>11413</v>
      </c>
      <c r="L306" t="s">
        <v>4275</v>
      </c>
      <c r="M306" t="s">
        <v>4275</v>
      </c>
      <c r="O306" t="s">
        <v>4282</v>
      </c>
      <c r="P306" t="s">
        <v>4585</v>
      </c>
      <c r="Q306" t="s">
        <v>5732</v>
      </c>
      <c r="R306" t="s">
        <v>5753</v>
      </c>
      <c r="S306" t="s">
        <v>5759</v>
      </c>
      <c r="T306" t="s">
        <v>4276</v>
      </c>
      <c r="V306" t="s">
        <v>5767</v>
      </c>
      <c r="W306" t="s">
        <v>5772</v>
      </c>
      <c r="X306" t="s">
        <v>221</v>
      </c>
      <c r="Y306">
        <v>600</v>
      </c>
      <c r="Z306" t="s">
        <v>5803</v>
      </c>
      <c r="AA306" t="s">
        <v>5804</v>
      </c>
      <c r="AB306" t="s">
        <v>5821</v>
      </c>
      <c r="AC306" t="s">
        <v>6124</v>
      </c>
      <c r="AE306" t="s">
        <v>8135</v>
      </c>
      <c r="AF306">
        <v>2</v>
      </c>
      <c r="AG306" t="s">
        <v>9269</v>
      </c>
      <c r="AH306" t="s">
        <v>4280</v>
      </c>
      <c r="AI306">
        <v>8</v>
      </c>
      <c r="AJ306">
        <v>1</v>
      </c>
      <c r="AK306">
        <v>0</v>
      </c>
      <c r="AL306">
        <v>171.33</v>
      </c>
      <c r="AO306" t="s">
        <v>1425</v>
      </c>
      <c r="AP306">
        <v>20800</v>
      </c>
      <c r="AV306">
        <v>2.05</v>
      </c>
      <c r="AW306" t="s">
        <v>56</v>
      </c>
    </row>
    <row r="307" spans="1:49">
      <c r="A307" s="1">
        <f>HYPERLINK("https://cms.ls-nyc.org/matter/dynamic-profile/view/1897859","19-1897859")</f>
        <v>0</v>
      </c>
      <c r="B307" t="s">
        <v>56</v>
      </c>
      <c r="C307" t="s">
        <v>82</v>
      </c>
      <c r="D307" t="s">
        <v>205</v>
      </c>
      <c r="E307" t="s">
        <v>95</v>
      </c>
      <c r="F307" t="s">
        <v>579</v>
      </c>
      <c r="G307" t="s">
        <v>1640</v>
      </c>
      <c r="H307" t="s">
        <v>2782</v>
      </c>
      <c r="I307" t="s">
        <v>3967</v>
      </c>
      <c r="J307" t="s">
        <v>4227</v>
      </c>
      <c r="K307">
        <v>11365</v>
      </c>
      <c r="L307" t="s">
        <v>4275</v>
      </c>
      <c r="M307" t="s">
        <v>4275</v>
      </c>
      <c r="O307" t="s">
        <v>4282</v>
      </c>
      <c r="P307" t="s">
        <v>4586</v>
      </c>
      <c r="Q307" t="s">
        <v>5731</v>
      </c>
      <c r="R307" t="s">
        <v>5753</v>
      </c>
      <c r="S307" t="s">
        <v>5759</v>
      </c>
      <c r="T307" t="s">
        <v>4276</v>
      </c>
      <c r="V307" t="s">
        <v>5767</v>
      </c>
      <c r="W307" t="s">
        <v>5774</v>
      </c>
      <c r="Y307">
        <v>1850</v>
      </c>
      <c r="Z307" t="s">
        <v>5803</v>
      </c>
      <c r="AA307" t="s">
        <v>5804</v>
      </c>
      <c r="AB307" t="s">
        <v>5821</v>
      </c>
      <c r="AC307" t="s">
        <v>6125</v>
      </c>
      <c r="AE307" t="s">
        <v>8136</v>
      </c>
      <c r="AF307">
        <v>8</v>
      </c>
      <c r="AG307" t="s">
        <v>9269</v>
      </c>
      <c r="AH307" t="s">
        <v>4280</v>
      </c>
      <c r="AI307">
        <v>2</v>
      </c>
      <c r="AJ307">
        <v>4</v>
      </c>
      <c r="AK307">
        <v>0</v>
      </c>
      <c r="AL307">
        <v>175.64</v>
      </c>
      <c r="AO307" t="s">
        <v>1425</v>
      </c>
      <c r="AP307">
        <v>45227.85</v>
      </c>
      <c r="AV307">
        <v>1.65</v>
      </c>
      <c r="AW307" t="s">
        <v>56</v>
      </c>
    </row>
    <row r="308" spans="1:49">
      <c r="A308" s="1">
        <f>HYPERLINK("https://cms.ls-nyc.org/matter/dynamic-profile/view/1872465","18-1872465")</f>
        <v>0</v>
      </c>
      <c r="B308" t="s">
        <v>56</v>
      </c>
      <c r="C308" t="s">
        <v>82</v>
      </c>
      <c r="D308" t="s">
        <v>195</v>
      </c>
      <c r="E308" t="s">
        <v>297</v>
      </c>
      <c r="F308" t="s">
        <v>580</v>
      </c>
      <c r="G308" t="s">
        <v>1641</v>
      </c>
      <c r="H308" t="s">
        <v>2783</v>
      </c>
      <c r="J308" t="s">
        <v>4236</v>
      </c>
      <c r="K308">
        <v>11416</v>
      </c>
      <c r="L308" t="s">
        <v>4275</v>
      </c>
      <c r="M308" t="s">
        <v>4275</v>
      </c>
      <c r="O308" t="s">
        <v>4282</v>
      </c>
      <c r="P308" t="s">
        <v>4587</v>
      </c>
      <c r="Q308" t="s">
        <v>5731</v>
      </c>
      <c r="R308" t="s">
        <v>5753</v>
      </c>
      <c r="S308" t="s">
        <v>5759</v>
      </c>
      <c r="T308" t="s">
        <v>4276</v>
      </c>
      <c r="V308" t="s">
        <v>5767</v>
      </c>
      <c r="W308" t="s">
        <v>5772</v>
      </c>
      <c r="X308" t="s">
        <v>195</v>
      </c>
      <c r="Y308">
        <v>1300</v>
      </c>
      <c r="Z308" t="s">
        <v>5803</v>
      </c>
      <c r="AA308" t="s">
        <v>5804</v>
      </c>
      <c r="AB308" t="s">
        <v>5821</v>
      </c>
      <c r="AC308" t="s">
        <v>6126</v>
      </c>
      <c r="AD308" t="s">
        <v>4700</v>
      </c>
      <c r="AE308" t="s">
        <v>8137</v>
      </c>
      <c r="AF308">
        <v>3</v>
      </c>
      <c r="AG308" t="s">
        <v>9269</v>
      </c>
      <c r="AH308" t="s">
        <v>4280</v>
      </c>
      <c r="AI308">
        <v>3</v>
      </c>
      <c r="AJ308">
        <v>2</v>
      </c>
      <c r="AK308">
        <v>0</v>
      </c>
      <c r="AL308">
        <v>176.18</v>
      </c>
      <c r="AO308" t="s">
        <v>1425</v>
      </c>
      <c r="AP308">
        <v>29000</v>
      </c>
      <c r="AV308">
        <v>1.2</v>
      </c>
      <c r="AW308" t="s">
        <v>54</v>
      </c>
    </row>
    <row r="309" spans="1:49">
      <c r="A309" s="1">
        <f>HYPERLINK("https://cms.ls-nyc.org/matter/dynamic-profile/view/1892823","19-1892823")</f>
        <v>0</v>
      </c>
      <c r="B309" t="s">
        <v>56</v>
      </c>
      <c r="C309" t="s">
        <v>82</v>
      </c>
      <c r="D309" t="s">
        <v>176</v>
      </c>
      <c r="E309" t="s">
        <v>95</v>
      </c>
      <c r="F309" t="s">
        <v>581</v>
      </c>
      <c r="G309" t="s">
        <v>1642</v>
      </c>
      <c r="H309" t="s">
        <v>2784</v>
      </c>
      <c r="I309" t="s">
        <v>3847</v>
      </c>
      <c r="J309" t="s">
        <v>4240</v>
      </c>
      <c r="K309">
        <v>11373</v>
      </c>
      <c r="L309" t="s">
        <v>4275</v>
      </c>
      <c r="M309" t="s">
        <v>4275</v>
      </c>
      <c r="N309" t="s">
        <v>4278</v>
      </c>
      <c r="O309" t="s">
        <v>4281</v>
      </c>
      <c r="P309" t="s">
        <v>4588</v>
      </c>
      <c r="Q309" t="s">
        <v>5731</v>
      </c>
      <c r="R309" t="s">
        <v>5751</v>
      </c>
      <c r="S309" t="s">
        <v>5758</v>
      </c>
      <c r="T309" t="s">
        <v>4276</v>
      </c>
      <c r="V309" t="s">
        <v>5767</v>
      </c>
      <c r="W309" t="s">
        <v>5773</v>
      </c>
      <c r="X309" t="s">
        <v>141</v>
      </c>
      <c r="Y309">
        <v>1674.79</v>
      </c>
      <c r="Z309" t="s">
        <v>5803</v>
      </c>
      <c r="AA309" t="s">
        <v>5811</v>
      </c>
      <c r="AB309" t="s">
        <v>5820</v>
      </c>
      <c r="AC309" t="s">
        <v>6127</v>
      </c>
      <c r="AE309" t="s">
        <v>8138</v>
      </c>
      <c r="AF309">
        <v>112</v>
      </c>
      <c r="AG309" t="s">
        <v>9272</v>
      </c>
      <c r="AH309" t="s">
        <v>4280</v>
      </c>
      <c r="AI309">
        <v>21</v>
      </c>
      <c r="AJ309">
        <v>2</v>
      </c>
      <c r="AK309">
        <v>2</v>
      </c>
      <c r="AL309">
        <v>178.64</v>
      </c>
      <c r="AO309" t="s">
        <v>9298</v>
      </c>
      <c r="AP309">
        <v>46000</v>
      </c>
      <c r="AR309" t="s">
        <v>9327</v>
      </c>
      <c r="AS309" t="s">
        <v>9336</v>
      </c>
      <c r="AT309" t="s">
        <v>9369</v>
      </c>
      <c r="AU309" t="s">
        <v>9445</v>
      </c>
      <c r="AV309">
        <v>6.8</v>
      </c>
      <c r="AW309" t="s">
        <v>56</v>
      </c>
    </row>
    <row r="310" spans="1:49">
      <c r="A310" s="1">
        <f>HYPERLINK("https://cms.ls-nyc.org/matter/dynamic-profile/view/1893514","19-1893514")</f>
        <v>0</v>
      </c>
      <c r="B310" t="s">
        <v>56</v>
      </c>
      <c r="C310" t="s">
        <v>82</v>
      </c>
      <c r="D310" t="s">
        <v>209</v>
      </c>
      <c r="E310" t="s">
        <v>93</v>
      </c>
      <c r="F310" t="s">
        <v>582</v>
      </c>
      <c r="G310" t="s">
        <v>1643</v>
      </c>
      <c r="H310" t="s">
        <v>2785</v>
      </c>
      <c r="I310" t="s">
        <v>3909</v>
      </c>
      <c r="J310" t="s">
        <v>4222</v>
      </c>
      <c r="K310">
        <v>11434</v>
      </c>
      <c r="L310" t="s">
        <v>4275</v>
      </c>
      <c r="M310" t="s">
        <v>4275</v>
      </c>
      <c r="O310" t="s">
        <v>4281</v>
      </c>
      <c r="P310" t="s">
        <v>4589</v>
      </c>
      <c r="Q310" t="s">
        <v>5732</v>
      </c>
      <c r="R310" t="s">
        <v>5751</v>
      </c>
      <c r="S310" t="s">
        <v>5762</v>
      </c>
      <c r="T310" t="s">
        <v>4276</v>
      </c>
      <c r="V310" t="s">
        <v>5767</v>
      </c>
      <c r="W310" t="s">
        <v>5774</v>
      </c>
      <c r="X310" t="s">
        <v>273</v>
      </c>
      <c r="Y310">
        <v>900</v>
      </c>
      <c r="Z310" t="s">
        <v>5803</v>
      </c>
      <c r="AA310" t="s">
        <v>5805</v>
      </c>
      <c r="AB310" t="s">
        <v>5822</v>
      </c>
      <c r="AC310" t="s">
        <v>6128</v>
      </c>
      <c r="AE310" t="s">
        <v>8139</v>
      </c>
      <c r="AF310">
        <v>3</v>
      </c>
      <c r="AG310" t="s">
        <v>9269</v>
      </c>
      <c r="AH310" t="s">
        <v>4280</v>
      </c>
      <c r="AI310">
        <v>11</v>
      </c>
      <c r="AJ310">
        <v>1</v>
      </c>
      <c r="AK310">
        <v>0</v>
      </c>
      <c r="AL310">
        <v>184.15</v>
      </c>
      <c r="AO310" t="s">
        <v>1425</v>
      </c>
      <c r="AP310">
        <v>23000</v>
      </c>
      <c r="AR310" t="s">
        <v>9329</v>
      </c>
      <c r="AS310" t="s">
        <v>5806</v>
      </c>
      <c r="AT310" t="s">
        <v>9370</v>
      </c>
      <c r="AU310" t="s">
        <v>9425</v>
      </c>
      <c r="AV310">
        <v>1.65</v>
      </c>
      <c r="AW310" t="s">
        <v>56</v>
      </c>
    </row>
    <row r="311" spans="1:49">
      <c r="A311" s="1">
        <f>HYPERLINK("https://cms.ls-nyc.org/matter/dynamic-profile/view/1871929","18-1871929")</f>
        <v>0</v>
      </c>
      <c r="B311" t="s">
        <v>56</v>
      </c>
      <c r="C311" t="s">
        <v>82</v>
      </c>
      <c r="D311" t="s">
        <v>113</v>
      </c>
      <c r="E311" t="s">
        <v>297</v>
      </c>
      <c r="F311" t="s">
        <v>402</v>
      </c>
      <c r="G311" t="s">
        <v>1644</v>
      </c>
      <c r="H311" t="s">
        <v>2786</v>
      </c>
      <c r="I311" t="s">
        <v>3968</v>
      </c>
      <c r="J311" t="s">
        <v>4222</v>
      </c>
      <c r="K311">
        <v>11434</v>
      </c>
      <c r="L311" t="s">
        <v>4275</v>
      </c>
      <c r="M311" t="s">
        <v>4275</v>
      </c>
      <c r="O311" t="s">
        <v>4281</v>
      </c>
      <c r="P311" t="s">
        <v>4590</v>
      </c>
      <c r="Q311" t="s">
        <v>5731</v>
      </c>
      <c r="R311" t="s">
        <v>5753</v>
      </c>
      <c r="S311" t="s">
        <v>5759</v>
      </c>
      <c r="T311" t="s">
        <v>4276</v>
      </c>
      <c r="V311" t="s">
        <v>5767</v>
      </c>
      <c r="W311" t="s">
        <v>5772</v>
      </c>
      <c r="X311" t="s">
        <v>113</v>
      </c>
      <c r="Y311">
        <v>957.4400000000001</v>
      </c>
      <c r="Z311" t="s">
        <v>5803</v>
      </c>
      <c r="AA311" t="s">
        <v>5804</v>
      </c>
      <c r="AB311" t="s">
        <v>5821</v>
      </c>
      <c r="AC311" t="s">
        <v>6129</v>
      </c>
      <c r="AD311" t="s">
        <v>4700</v>
      </c>
      <c r="AE311" t="s">
        <v>8140</v>
      </c>
      <c r="AF311">
        <v>293</v>
      </c>
      <c r="AG311" t="s">
        <v>9273</v>
      </c>
      <c r="AH311" t="s">
        <v>4280</v>
      </c>
      <c r="AI311">
        <v>12</v>
      </c>
      <c r="AJ311">
        <v>2</v>
      </c>
      <c r="AK311">
        <v>1</v>
      </c>
      <c r="AL311">
        <v>184.79</v>
      </c>
      <c r="AO311" t="s">
        <v>1425</v>
      </c>
      <c r="AP311">
        <v>38400</v>
      </c>
      <c r="AV311">
        <v>1.15</v>
      </c>
      <c r="AW311" t="s">
        <v>73</v>
      </c>
    </row>
    <row r="312" spans="1:49">
      <c r="A312" s="1">
        <f>HYPERLINK("https://cms.ls-nyc.org/matter/dynamic-profile/view/1882156","18-1882156")</f>
        <v>0</v>
      </c>
      <c r="B312" t="s">
        <v>56</v>
      </c>
      <c r="C312" t="s">
        <v>82</v>
      </c>
      <c r="D312" t="s">
        <v>130</v>
      </c>
      <c r="E312" t="s">
        <v>221</v>
      </c>
      <c r="F312" t="s">
        <v>583</v>
      </c>
      <c r="G312" t="s">
        <v>1645</v>
      </c>
      <c r="H312" t="s">
        <v>2787</v>
      </c>
      <c r="I312" t="s">
        <v>3864</v>
      </c>
      <c r="J312" t="s">
        <v>4222</v>
      </c>
      <c r="K312">
        <v>11433</v>
      </c>
      <c r="L312" t="s">
        <v>4275</v>
      </c>
      <c r="M312" t="s">
        <v>4275</v>
      </c>
      <c r="O312" t="s">
        <v>4281</v>
      </c>
      <c r="P312" t="s">
        <v>4591</v>
      </c>
      <c r="Q312" t="s">
        <v>5731</v>
      </c>
      <c r="R312" t="s">
        <v>5753</v>
      </c>
      <c r="S312" t="s">
        <v>5759</v>
      </c>
      <c r="T312" t="s">
        <v>4276</v>
      </c>
      <c r="V312" t="s">
        <v>5767</v>
      </c>
      <c r="W312" t="s">
        <v>5772</v>
      </c>
      <c r="X312" t="s">
        <v>130</v>
      </c>
      <c r="Y312">
        <v>1000</v>
      </c>
      <c r="Z312" t="s">
        <v>5803</v>
      </c>
      <c r="AA312" t="s">
        <v>5804</v>
      </c>
      <c r="AB312" t="s">
        <v>5821</v>
      </c>
      <c r="AC312" t="s">
        <v>6130</v>
      </c>
      <c r="AE312" t="s">
        <v>8141</v>
      </c>
      <c r="AF312">
        <v>4</v>
      </c>
      <c r="AG312" t="s">
        <v>9269</v>
      </c>
      <c r="AH312" t="s">
        <v>4280</v>
      </c>
      <c r="AI312">
        <v>2</v>
      </c>
      <c r="AJ312">
        <v>1</v>
      </c>
      <c r="AK312">
        <v>0</v>
      </c>
      <c r="AL312">
        <v>189.46</v>
      </c>
      <c r="AO312" t="s">
        <v>1425</v>
      </c>
      <c r="AP312">
        <v>23000</v>
      </c>
      <c r="AV312">
        <v>2.8</v>
      </c>
      <c r="AW312" t="s">
        <v>73</v>
      </c>
    </row>
    <row r="313" spans="1:49">
      <c r="A313" s="1">
        <f>HYPERLINK("https://cms.ls-nyc.org/matter/dynamic-profile/view/1884814","18-1884814")</f>
        <v>0</v>
      </c>
      <c r="B313" t="s">
        <v>56</v>
      </c>
      <c r="C313" t="s">
        <v>82</v>
      </c>
      <c r="D313" t="s">
        <v>108</v>
      </c>
      <c r="E313" t="s">
        <v>282</v>
      </c>
      <c r="F313" t="s">
        <v>584</v>
      </c>
      <c r="G313" t="s">
        <v>1646</v>
      </c>
      <c r="H313" t="s">
        <v>2788</v>
      </c>
      <c r="I313" t="s">
        <v>3969</v>
      </c>
      <c r="J313" t="s">
        <v>4222</v>
      </c>
      <c r="K313">
        <v>11433</v>
      </c>
      <c r="L313" t="s">
        <v>4275</v>
      </c>
      <c r="M313" t="s">
        <v>4275</v>
      </c>
      <c r="O313" t="s">
        <v>4281</v>
      </c>
      <c r="P313" t="s">
        <v>4592</v>
      </c>
      <c r="Q313" t="s">
        <v>5731</v>
      </c>
      <c r="R313" t="s">
        <v>5751</v>
      </c>
      <c r="S313" t="s">
        <v>5758</v>
      </c>
      <c r="T313" t="s">
        <v>4276</v>
      </c>
      <c r="V313" t="s">
        <v>5767</v>
      </c>
      <c r="W313" t="s">
        <v>5772</v>
      </c>
      <c r="X313" t="s">
        <v>235</v>
      </c>
      <c r="Y313">
        <v>624</v>
      </c>
      <c r="Z313" t="s">
        <v>5803</v>
      </c>
      <c r="AA313" t="s">
        <v>5805</v>
      </c>
      <c r="AB313" t="s">
        <v>5820</v>
      </c>
      <c r="AC313" t="s">
        <v>6131</v>
      </c>
      <c r="AE313" t="s">
        <v>8142</v>
      </c>
      <c r="AF313">
        <v>312</v>
      </c>
      <c r="AG313" t="s">
        <v>9271</v>
      </c>
      <c r="AH313" t="s">
        <v>4280</v>
      </c>
      <c r="AI313">
        <v>6</v>
      </c>
      <c r="AJ313">
        <v>2</v>
      </c>
      <c r="AK313">
        <v>0</v>
      </c>
      <c r="AL313">
        <v>206.56</v>
      </c>
      <c r="AM313" t="s">
        <v>235</v>
      </c>
      <c r="AN313" t="s">
        <v>9293</v>
      </c>
      <c r="AO313" t="s">
        <v>1425</v>
      </c>
      <c r="AP313">
        <v>34000</v>
      </c>
      <c r="AQ313" t="s">
        <v>9293</v>
      </c>
      <c r="AS313" t="s">
        <v>9336</v>
      </c>
      <c r="AT313" t="s">
        <v>9369</v>
      </c>
      <c r="AU313" t="s">
        <v>9406</v>
      </c>
      <c r="AV313">
        <v>4.9</v>
      </c>
      <c r="AW313" t="s">
        <v>60</v>
      </c>
    </row>
    <row r="314" spans="1:49">
      <c r="A314" s="1">
        <f>HYPERLINK("https://cms.ls-nyc.org/matter/dynamic-profile/view/1899313","19-1899313")</f>
        <v>0</v>
      </c>
      <c r="B314" t="s">
        <v>56</v>
      </c>
      <c r="C314" t="s">
        <v>82</v>
      </c>
      <c r="D314" t="s">
        <v>104</v>
      </c>
      <c r="E314" t="s">
        <v>87</v>
      </c>
      <c r="F314" t="s">
        <v>585</v>
      </c>
      <c r="G314" t="s">
        <v>1647</v>
      </c>
      <c r="H314" t="s">
        <v>2789</v>
      </c>
      <c r="I314" t="s">
        <v>3970</v>
      </c>
      <c r="J314" t="s">
        <v>4222</v>
      </c>
      <c r="K314">
        <v>11434</v>
      </c>
      <c r="L314" t="s">
        <v>4275</v>
      </c>
      <c r="M314" t="s">
        <v>4277</v>
      </c>
      <c r="N314" t="s">
        <v>4278</v>
      </c>
      <c r="O314" t="s">
        <v>4281</v>
      </c>
      <c r="P314" t="s">
        <v>4593</v>
      </c>
      <c r="Q314" t="s">
        <v>5731</v>
      </c>
      <c r="R314" t="s">
        <v>5751</v>
      </c>
      <c r="S314" t="s">
        <v>5758</v>
      </c>
      <c r="T314" t="s">
        <v>4276</v>
      </c>
      <c r="V314" t="s">
        <v>5767</v>
      </c>
      <c r="W314" t="s">
        <v>5771</v>
      </c>
      <c r="X314" t="s">
        <v>230</v>
      </c>
      <c r="Y314">
        <v>1087</v>
      </c>
      <c r="Z314" t="s">
        <v>5803</v>
      </c>
      <c r="AA314" t="s">
        <v>5805</v>
      </c>
      <c r="AB314" t="s">
        <v>5820</v>
      </c>
      <c r="AC314" t="s">
        <v>6079</v>
      </c>
      <c r="AE314" t="s">
        <v>8143</v>
      </c>
      <c r="AF314">
        <v>12</v>
      </c>
      <c r="AG314" t="s">
        <v>9273</v>
      </c>
      <c r="AH314" t="s">
        <v>4280</v>
      </c>
      <c r="AI314">
        <v>12</v>
      </c>
      <c r="AJ314">
        <v>2</v>
      </c>
      <c r="AK314">
        <v>1</v>
      </c>
      <c r="AL314">
        <v>220.35</v>
      </c>
      <c r="AM314" t="s">
        <v>283</v>
      </c>
      <c r="AN314" t="s">
        <v>9293</v>
      </c>
      <c r="AO314" t="s">
        <v>1425</v>
      </c>
      <c r="AP314">
        <v>47000</v>
      </c>
      <c r="AR314" t="s">
        <v>9329</v>
      </c>
      <c r="AS314" t="s">
        <v>9336</v>
      </c>
      <c r="AT314" t="s">
        <v>9369</v>
      </c>
      <c r="AU314" t="s">
        <v>9420</v>
      </c>
      <c r="AV314">
        <v>2.2</v>
      </c>
      <c r="AW314" t="s">
        <v>56</v>
      </c>
    </row>
    <row r="315" spans="1:49">
      <c r="A315" s="1">
        <f>HYPERLINK("https://cms.ls-nyc.org/matter/dynamic-profile/view/1899313","19-1899313")</f>
        <v>0</v>
      </c>
      <c r="B315" t="s">
        <v>56</v>
      </c>
      <c r="C315" t="s">
        <v>82</v>
      </c>
      <c r="D315" t="s">
        <v>104</v>
      </c>
      <c r="E315" t="s">
        <v>87</v>
      </c>
      <c r="F315" t="s">
        <v>585</v>
      </c>
      <c r="G315" t="s">
        <v>1647</v>
      </c>
      <c r="H315" t="s">
        <v>2789</v>
      </c>
      <c r="I315" t="s">
        <v>3970</v>
      </c>
      <c r="J315" t="s">
        <v>4222</v>
      </c>
      <c r="K315">
        <v>11434</v>
      </c>
      <c r="L315" t="s">
        <v>4275</v>
      </c>
      <c r="M315" t="s">
        <v>4277</v>
      </c>
      <c r="N315" t="s">
        <v>4278</v>
      </c>
      <c r="O315" t="s">
        <v>4281</v>
      </c>
      <c r="P315" t="s">
        <v>4593</v>
      </c>
      <c r="Q315" t="s">
        <v>5731</v>
      </c>
      <c r="R315" t="s">
        <v>5751</v>
      </c>
      <c r="S315" t="s">
        <v>5758</v>
      </c>
      <c r="T315" t="s">
        <v>4276</v>
      </c>
      <c r="V315" t="s">
        <v>5767</v>
      </c>
      <c r="W315" t="s">
        <v>5771</v>
      </c>
      <c r="X315" t="s">
        <v>230</v>
      </c>
      <c r="Y315">
        <v>1087</v>
      </c>
      <c r="Z315" t="s">
        <v>5803</v>
      </c>
      <c r="AA315" t="s">
        <v>5805</v>
      </c>
      <c r="AB315" t="s">
        <v>5822</v>
      </c>
      <c r="AC315" t="s">
        <v>6079</v>
      </c>
      <c r="AE315" t="s">
        <v>8143</v>
      </c>
      <c r="AF315">
        <v>12</v>
      </c>
      <c r="AG315" t="s">
        <v>9273</v>
      </c>
      <c r="AH315" t="s">
        <v>4280</v>
      </c>
      <c r="AI315">
        <v>12</v>
      </c>
      <c r="AJ315">
        <v>2</v>
      </c>
      <c r="AK315">
        <v>1</v>
      </c>
      <c r="AL315">
        <v>220.35</v>
      </c>
      <c r="AM315" t="s">
        <v>283</v>
      </c>
      <c r="AN315" t="s">
        <v>9293</v>
      </c>
      <c r="AO315" t="s">
        <v>1425</v>
      </c>
      <c r="AP315">
        <v>47000</v>
      </c>
      <c r="AR315" t="s">
        <v>9329</v>
      </c>
      <c r="AS315" t="s">
        <v>9336</v>
      </c>
      <c r="AT315" t="s">
        <v>9369</v>
      </c>
      <c r="AU315" t="s">
        <v>9420</v>
      </c>
      <c r="AV315">
        <v>2.2</v>
      </c>
      <c r="AW315" t="s">
        <v>56</v>
      </c>
    </row>
    <row r="316" spans="1:49">
      <c r="A316" s="1">
        <f>HYPERLINK("https://cms.ls-nyc.org/matter/dynamic-profile/view/1886489","18-1886489")</f>
        <v>0</v>
      </c>
      <c r="B316" t="s">
        <v>56</v>
      </c>
      <c r="C316" t="s">
        <v>83</v>
      </c>
      <c r="D316" t="s">
        <v>154</v>
      </c>
      <c r="F316" t="s">
        <v>498</v>
      </c>
      <c r="G316" t="s">
        <v>1486</v>
      </c>
      <c r="H316" t="s">
        <v>2790</v>
      </c>
      <c r="I316" t="s">
        <v>3971</v>
      </c>
      <c r="J316" t="s">
        <v>4222</v>
      </c>
      <c r="K316">
        <v>11433</v>
      </c>
      <c r="L316" t="s">
        <v>4275</v>
      </c>
      <c r="M316" t="s">
        <v>4276</v>
      </c>
      <c r="O316" t="s">
        <v>4281</v>
      </c>
      <c r="P316" t="s">
        <v>4594</v>
      </c>
      <c r="Q316" t="s">
        <v>5732</v>
      </c>
      <c r="R316" t="s">
        <v>5751</v>
      </c>
      <c r="T316" t="s">
        <v>4276</v>
      </c>
      <c r="V316" t="s">
        <v>5767</v>
      </c>
      <c r="W316" t="s">
        <v>5772</v>
      </c>
      <c r="X316" t="s">
        <v>100</v>
      </c>
      <c r="Y316">
        <v>1100</v>
      </c>
      <c r="Z316" t="s">
        <v>5803</v>
      </c>
      <c r="AA316" t="s">
        <v>5805</v>
      </c>
      <c r="AC316" t="s">
        <v>6132</v>
      </c>
      <c r="AE316" t="s">
        <v>8144</v>
      </c>
      <c r="AF316">
        <v>3</v>
      </c>
      <c r="AG316" t="s">
        <v>9269</v>
      </c>
      <c r="AH316" t="s">
        <v>4280</v>
      </c>
      <c r="AI316">
        <v>1</v>
      </c>
      <c r="AJ316">
        <v>1</v>
      </c>
      <c r="AK316">
        <v>0</v>
      </c>
      <c r="AL316">
        <v>222.73</v>
      </c>
      <c r="AM316" t="s">
        <v>154</v>
      </c>
      <c r="AN316" t="s">
        <v>9293</v>
      </c>
      <c r="AO316" t="s">
        <v>1425</v>
      </c>
      <c r="AP316">
        <v>27040</v>
      </c>
      <c r="AQ316" t="s">
        <v>9324</v>
      </c>
      <c r="AV316">
        <v>22.1</v>
      </c>
      <c r="AW316" t="s">
        <v>51</v>
      </c>
    </row>
    <row r="317" spans="1:49">
      <c r="A317" s="1">
        <f>HYPERLINK("https://cms.ls-nyc.org/matter/dynamic-profile/view/1895796","19-1895796")</f>
        <v>0</v>
      </c>
      <c r="B317" t="s">
        <v>56</v>
      </c>
      <c r="C317" t="s">
        <v>82</v>
      </c>
      <c r="D317" t="s">
        <v>94</v>
      </c>
      <c r="E317" t="s">
        <v>298</v>
      </c>
      <c r="F317" t="s">
        <v>586</v>
      </c>
      <c r="G317" t="s">
        <v>799</v>
      </c>
      <c r="H317" t="s">
        <v>2791</v>
      </c>
      <c r="I317">
        <v>2</v>
      </c>
      <c r="J317" t="s">
        <v>4222</v>
      </c>
      <c r="K317">
        <v>11433</v>
      </c>
      <c r="L317" t="s">
        <v>4275</v>
      </c>
      <c r="M317" t="s">
        <v>4275</v>
      </c>
      <c r="N317" t="s">
        <v>4278</v>
      </c>
      <c r="O317" t="s">
        <v>4281</v>
      </c>
      <c r="P317" t="s">
        <v>4595</v>
      </c>
      <c r="Q317" t="s">
        <v>5732</v>
      </c>
      <c r="R317" t="s">
        <v>5751</v>
      </c>
      <c r="S317" t="s">
        <v>5758</v>
      </c>
      <c r="T317" t="s">
        <v>4276</v>
      </c>
      <c r="V317" t="s">
        <v>5767</v>
      </c>
      <c r="W317" t="s">
        <v>5772</v>
      </c>
      <c r="X317" t="s">
        <v>138</v>
      </c>
      <c r="Y317">
        <v>1500</v>
      </c>
      <c r="Z317" t="s">
        <v>5803</v>
      </c>
      <c r="AA317" t="s">
        <v>5805</v>
      </c>
      <c r="AB317" t="s">
        <v>5820</v>
      </c>
      <c r="AC317" t="s">
        <v>6133</v>
      </c>
      <c r="AE317" t="s">
        <v>8145</v>
      </c>
      <c r="AF317">
        <v>3</v>
      </c>
      <c r="AG317" t="s">
        <v>9269</v>
      </c>
      <c r="AH317" t="s">
        <v>9282</v>
      </c>
      <c r="AI317">
        <v>5</v>
      </c>
      <c r="AJ317">
        <v>3</v>
      </c>
      <c r="AK317">
        <v>1</v>
      </c>
      <c r="AL317">
        <v>226.17</v>
      </c>
      <c r="AM317" t="s">
        <v>138</v>
      </c>
      <c r="AN317" t="s">
        <v>9293</v>
      </c>
      <c r="AO317" t="s">
        <v>1425</v>
      </c>
      <c r="AP317">
        <v>58240</v>
      </c>
      <c r="AR317" t="s">
        <v>9329</v>
      </c>
      <c r="AS317" t="s">
        <v>9336</v>
      </c>
      <c r="AT317" t="s">
        <v>9369</v>
      </c>
      <c r="AU317" t="s">
        <v>9446</v>
      </c>
      <c r="AV317">
        <v>12.05</v>
      </c>
      <c r="AW317" t="s">
        <v>9551</v>
      </c>
    </row>
    <row r="318" spans="1:49">
      <c r="A318" s="1">
        <f>HYPERLINK("https://cms.ls-nyc.org/matter/dynamic-profile/view/1888310","19-1888310")</f>
        <v>0</v>
      </c>
      <c r="B318" t="s">
        <v>56</v>
      </c>
      <c r="C318" t="s">
        <v>82</v>
      </c>
      <c r="D318" t="s">
        <v>135</v>
      </c>
      <c r="E318" t="s">
        <v>197</v>
      </c>
      <c r="F318" t="s">
        <v>394</v>
      </c>
      <c r="G318" t="s">
        <v>1648</v>
      </c>
      <c r="H318" t="s">
        <v>2792</v>
      </c>
      <c r="I318" t="s">
        <v>3972</v>
      </c>
      <c r="J318" t="s">
        <v>4239</v>
      </c>
      <c r="K318">
        <v>11420</v>
      </c>
      <c r="L318" t="s">
        <v>4275</v>
      </c>
      <c r="M318" t="s">
        <v>4275</v>
      </c>
      <c r="O318" t="s">
        <v>4282</v>
      </c>
      <c r="P318" t="s">
        <v>4596</v>
      </c>
      <c r="Q318" t="s">
        <v>5732</v>
      </c>
      <c r="R318" t="s">
        <v>5753</v>
      </c>
      <c r="S318" t="s">
        <v>5759</v>
      </c>
      <c r="T318" t="s">
        <v>4276</v>
      </c>
      <c r="V318" t="s">
        <v>5767</v>
      </c>
      <c r="W318" t="s">
        <v>5772</v>
      </c>
      <c r="Y318">
        <v>2700</v>
      </c>
      <c r="Z318" t="s">
        <v>5803</v>
      </c>
      <c r="AA318" t="s">
        <v>5804</v>
      </c>
      <c r="AB318" t="s">
        <v>5821</v>
      </c>
      <c r="AC318" t="s">
        <v>6134</v>
      </c>
      <c r="AD318" t="s">
        <v>7425</v>
      </c>
      <c r="AE318" t="s">
        <v>8146</v>
      </c>
      <c r="AF318">
        <v>1</v>
      </c>
      <c r="AG318" t="s">
        <v>9269</v>
      </c>
      <c r="AH318" t="s">
        <v>4280</v>
      </c>
      <c r="AI318">
        <v>1</v>
      </c>
      <c r="AJ318">
        <v>3</v>
      </c>
      <c r="AK318">
        <v>2</v>
      </c>
      <c r="AL318">
        <v>284.08</v>
      </c>
      <c r="AO318" t="s">
        <v>1425</v>
      </c>
      <c r="AP318">
        <v>83576</v>
      </c>
      <c r="AV318">
        <v>1.25</v>
      </c>
      <c r="AW318" t="s">
        <v>74</v>
      </c>
    </row>
    <row r="319" spans="1:49">
      <c r="A319" s="1">
        <f>HYPERLINK("https://cms.ls-nyc.org/matter/dynamic-profile/view/1888561","19-1888561")</f>
        <v>0</v>
      </c>
      <c r="B319" t="s">
        <v>56</v>
      </c>
      <c r="C319" t="s">
        <v>83</v>
      </c>
      <c r="D319" t="s">
        <v>125</v>
      </c>
      <c r="F319" t="s">
        <v>587</v>
      </c>
      <c r="G319" t="s">
        <v>1649</v>
      </c>
      <c r="H319" t="s">
        <v>2793</v>
      </c>
      <c r="I319">
        <v>1</v>
      </c>
      <c r="J319" t="s">
        <v>4226</v>
      </c>
      <c r="K319">
        <v>11385</v>
      </c>
      <c r="L319" t="s">
        <v>4275</v>
      </c>
      <c r="M319" t="s">
        <v>4275</v>
      </c>
      <c r="N319" t="s">
        <v>4278</v>
      </c>
      <c r="O319" t="s">
        <v>4281</v>
      </c>
      <c r="P319" t="s">
        <v>4597</v>
      </c>
      <c r="Q319" t="s">
        <v>5732</v>
      </c>
      <c r="R319" t="s">
        <v>5751</v>
      </c>
      <c r="T319" t="s">
        <v>4276</v>
      </c>
      <c r="V319" t="s">
        <v>5767</v>
      </c>
      <c r="W319" t="s">
        <v>5772</v>
      </c>
      <c r="X319" t="s">
        <v>270</v>
      </c>
      <c r="Y319">
        <v>1200</v>
      </c>
      <c r="Z319" t="s">
        <v>5803</v>
      </c>
      <c r="AA319" t="s">
        <v>5804</v>
      </c>
      <c r="AC319" t="s">
        <v>6135</v>
      </c>
      <c r="AE319" t="s">
        <v>8147</v>
      </c>
      <c r="AF319">
        <v>2</v>
      </c>
      <c r="AG319" t="s">
        <v>9269</v>
      </c>
      <c r="AH319" t="s">
        <v>4280</v>
      </c>
      <c r="AI319">
        <v>19</v>
      </c>
      <c r="AJ319">
        <v>2</v>
      </c>
      <c r="AK319">
        <v>0</v>
      </c>
      <c r="AL319">
        <v>295.68</v>
      </c>
      <c r="AM319" t="s">
        <v>138</v>
      </c>
      <c r="AN319" t="s">
        <v>9293</v>
      </c>
      <c r="AO319" t="s">
        <v>1425</v>
      </c>
      <c r="AP319">
        <v>50000</v>
      </c>
      <c r="AR319" t="s">
        <v>9329</v>
      </c>
      <c r="AS319" t="s">
        <v>5806</v>
      </c>
      <c r="AT319" t="s">
        <v>9370</v>
      </c>
      <c r="AU319" t="s">
        <v>9447</v>
      </c>
      <c r="AV319">
        <v>24.75</v>
      </c>
      <c r="AW319" t="s">
        <v>54</v>
      </c>
    </row>
    <row r="320" spans="1:49">
      <c r="A320" s="1">
        <f>HYPERLINK("https://cms.ls-nyc.org/matter/dynamic-profile/view/1899207","19-1899207")</f>
        <v>0</v>
      </c>
      <c r="B320" t="s">
        <v>57</v>
      </c>
      <c r="C320" t="s">
        <v>83</v>
      </c>
      <c r="D320" t="s">
        <v>161</v>
      </c>
      <c r="F320" t="s">
        <v>588</v>
      </c>
      <c r="G320" t="s">
        <v>1650</v>
      </c>
      <c r="H320" t="s">
        <v>2794</v>
      </c>
      <c r="I320" t="s">
        <v>3847</v>
      </c>
      <c r="J320" t="s">
        <v>4222</v>
      </c>
      <c r="K320">
        <v>11433</v>
      </c>
      <c r="L320" t="s">
        <v>4275</v>
      </c>
      <c r="M320" t="s">
        <v>4277</v>
      </c>
      <c r="N320" t="s">
        <v>4278</v>
      </c>
      <c r="O320" t="s">
        <v>4281</v>
      </c>
      <c r="P320" t="s">
        <v>4598</v>
      </c>
      <c r="Q320" t="s">
        <v>5731</v>
      </c>
      <c r="R320" t="s">
        <v>5751</v>
      </c>
      <c r="T320" t="s">
        <v>4276</v>
      </c>
      <c r="V320" t="s">
        <v>5768</v>
      </c>
      <c r="X320" t="s">
        <v>161</v>
      </c>
      <c r="Y320">
        <v>662</v>
      </c>
      <c r="Z320" t="s">
        <v>5803</v>
      </c>
      <c r="AA320" t="s">
        <v>5804</v>
      </c>
      <c r="AC320" t="s">
        <v>6136</v>
      </c>
      <c r="AD320" t="s">
        <v>7426</v>
      </c>
      <c r="AE320" t="s">
        <v>8148</v>
      </c>
      <c r="AF320">
        <v>12</v>
      </c>
      <c r="AG320" t="s">
        <v>9271</v>
      </c>
      <c r="AH320" t="s">
        <v>4280</v>
      </c>
      <c r="AI320">
        <v>33</v>
      </c>
      <c r="AJ320">
        <v>1</v>
      </c>
      <c r="AK320">
        <v>0</v>
      </c>
      <c r="AL320">
        <v>0</v>
      </c>
      <c r="AO320" t="s">
        <v>1425</v>
      </c>
      <c r="AP320">
        <v>0</v>
      </c>
      <c r="AV320">
        <v>3.4</v>
      </c>
      <c r="AW320" t="s">
        <v>54</v>
      </c>
    </row>
    <row r="321" spans="1:49">
      <c r="A321" s="1">
        <f>HYPERLINK("https://cms.ls-nyc.org/matter/dynamic-profile/view/1894086","19-1894086")</f>
        <v>0</v>
      </c>
      <c r="B321" t="s">
        <v>57</v>
      </c>
      <c r="C321" t="s">
        <v>83</v>
      </c>
      <c r="D321" t="s">
        <v>210</v>
      </c>
      <c r="F321" t="s">
        <v>331</v>
      </c>
      <c r="G321" t="s">
        <v>1651</v>
      </c>
      <c r="H321" t="s">
        <v>2795</v>
      </c>
      <c r="I321" t="s">
        <v>3973</v>
      </c>
      <c r="J321" t="s">
        <v>4255</v>
      </c>
      <c r="K321">
        <v>11372</v>
      </c>
      <c r="L321" t="s">
        <v>4275</v>
      </c>
      <c r="M321" t="s">
        <v>4275</v>
      </c>
      <c r="O321" t="s">
        <v>4282</v>
      </c>
      <c r="P321" t="s">
        <v>4599</v>
      </c>
      <c r="Q321" t="s">
        <v>5731</v>
      </c>
      <c r="R321" t="s">
        <v>5751</v>
      </c>
      <c r="T321" t="s">
        <v>4276</v>
      </c>
      <c r="V321" t="s">
        <v>5767</v>
      </c>
      <c r="W321" t="s">
        <v>5772</v>
      </c>
      <c r="Y321">
        <v>1410</v>
      </c>
      <c r="Z321" t="s">
        <v>5803</v>
      </c>
      <c r="AA321" t="s">
        <v>5804</v>
      </c>
      <c r="AC321" t="s">
        <v>6137</v>
      </c>
      <c r="AD321" t="s">
        <v>7427</v>
      </c>
      <c r="AE321" t="s">
        <v>8149</v>
      </c>
      <c r="AF321">
        <v>10</v>
      </c>
      <c r="AG321" t="s">
        <v>9272</v>
      </c>
      <c r="AH321" t="s">
        <v>9283</v>
      </c>
      <c r="AI321">
        <v>4</v>
      </c>
      <c r="AJ321">
        <v>1</v>
      </c>
      <c r="AK321">
        <v>1</v>
      </c>
      <c r="AL321">
        <v>0</v>
      </c>
      <c r="AN321" t="s">
        <v>9293</v>
      </c>
      <c r="AO321" t="s">
        <v>1425</v>
      </c>
      <c r="AP321">
        <v>0</v>
      </c>
      <c r="AV321">
        <v>12.5</v>
      </c>
      <c r="AW321" t="s">
        <v>69</v>
      </c>
    </row>
    <row r="322" spans="1:49">
      <c r="A322" s="1">
        <f>HYPERLINK("https://cms.ls-nyc.org/matter/dynamic-profile/view/1893654","19-1893654")</f>
        <v>0</v>
      </c>
      <c r="B322" t="s">
        <v>57</v>
      </c>
      <c r="C322" t="s">
        <v>82</v>
      </c>
      <c r="D322" t="s">
        <v>211</v>
      </c>
      <c r="E322" t="s">
        <v>211</v>
      </c>
      <c r="F322" t="s">
        <v>589</v>
      </c>
      <c r="G322" t="s">
        <v>1652</v>
      </c>
      <c r="H322" t="s">
        <v>2796</v>
      </c>
      <c r="J322" t="s">
        <v>4253</v>
      </c>
      <c r="K322">
        <v>11422</v>
      </c>
      <c r="L322" t="s">
        <v>4275</v>
      </c>
      <c r="M322" t="s">
        <v>4275</v>
      </c>
      <c r="O322" t="s">
        <v>4282</v>
      </c>
      <c r="P322" t="s">
        <v>4600</v>
      </c>
      <c r="Q322" t="s">
        <v>5732</v>
      </c>
      <c r="R322" t="s">
        <v>5753</v>
      </c>
      <c r="S322" t="s">
        <v>5759</v>
      </c>
      <c r="T322" t="s">
        <v>4276</v>
      </c>
      <c r="V322" t="s">
        <v>5767</v>
      </c>
      <c r="W322" t="s">
        <v>5772</v>
      </c>
      <c r="X322" t="s">
        <v>273</v>
      </c>
      <c r="Y322">
        <v>1956</v>
      </c>
      <c r="Z322" t="s">
        <v>5803</v>
      </c>
      <c r="AA322" t="s">
        <v>5804</v>
      </c>
      <c r="AB322" t="s">
        <v>5821</v>
      </c>
      <c r="AC322" t="s">
        <v>6138</v>
      </c>
      <c r="AD322" t="s">
        <v>7428</v>
      </c>
      <c r="AE322" t="s">
        <v>8150</v>
      </c>
      <c r="AF322">
        <v>2</v>
      </c>
      <c r="AG322" t="s">
        <v>9269</v>
      </c>
      <c r="AH322" t="s">
        <v>9286</v>
      </c>
      <c r="AI322">
        <v>2</v>
      </c>
      <c r="AJ322">
        <v>1</v>
      </c>
      <c r="AK322">
        <v>4</v>
      </c>
      <c r="AL322">
        <v>44.54</v>
      </c>
      <c r="AO322" t="s">
        <v>1425</v>
      </c>
      <c r="AP322">
        <v>13436.4</v>
      </c>
      <c r="AV322">
        <v>2.5</v>
      </c>
      <c r="AW322" t="s">
        <v>57</v>
      </c>
    </row>
    <row r="323" spans="1:49">
      <c r="A323" s="1">
        <f>HYPERLINK("https://cms.ls-nyc.org/matter/dynamic-profile/view/1888879","19-1888879")</f>
        <v>0</v>
      </c>
      <c r="B323" t="s">
        <v>57</v>
      </c>
      <c r="C323" t="s">
        <v>82</v>
      </c>
      <c r="D323" t="s">
        <v>88</v>
      </c>
      <c r="E323" t="s">
        <v>211</v>
      </c>
      <c r="F323" t="s">
        <v>321</v>
      </c>
      <c r="G323" t="s">
        <v>1653</v>
      </c>
      <c r="H323" t="s">
        <v>2797</v>
      </c>
      <c r="I323" t="s">
        <v>3902</v>
      </c>
      <c r="J323" t="s">
        <v>4262</v>
      </c>
      <c r="K323">
        <v>11414</v>
      </c>
      <c r="L323" t="s">
        <v>4275</v>
      </c>
      <c r="M323" t="s">
        <v>4275</v>
      </c>
      <c r="O323" t="s">
        <v>4282</v>
      </c>
      <c r="P323" t="s">
        <v>4601</v>
      </c>
      <c r="Q323" t="s">
        <v>5732</v>
      </c>
      <c r="R323" t="s">
        <v>5753</v>
      </c>
      <c r="S323" t="s">
        <v>5759</v>
      </c>
      <c r="V323" t="s">
        <v>5767</v>
      </c>
      <c r="W323" t="s">
        <v>5772</v>
      </c>
      <c r="X323" t="s">
        <v>88</v>
      </c>
      <c r="Y323">
        <v>700</v>
      </c>
      <c r="Z323" t="s">
        <v>5803</v>
      </c>
      <c r="AA323" t="s">
        <v>5804</v>
      </c>
      <c r="AB323" t="s">
        <v>5821</v>
      </c>
      <c r="AC323" t="s">
        <v>6139</v>
      </c>
      <c r="AE323" t="s">
        <v>8151</v>
      </c>
      <c r="AF323">
        <v>4</v>
      </c>
      <c r="AG323" t="s">
        <v>9275</v>
      </c>
      <c r="AH323" t="s">
        <v>4280</v>
      </c>
      <c r="AI323">
        <v>17</v>
      </c>
      <c r="AJ323">
        <v>2</v>
      </c>
      <c r="AK323">
        <v>2</v>
      </c>
      <c r="AL323">
        <v>100.97</v>
      </c>
      <c r="AP323">
        <v>26000</v>
      </c>
      <c r="AV323">
        <v>1.06</v>
      </c>
      <c r="AW323" t="s">
        <v>74</v>
      </c>
    </row>
    <row r="324" spans="1:49">
      <c r="A324" s="1">
        <f>HYPERLINK("https://cms.ls-nyc.org/matter/dynamic-profile/view/1888347","19-1888347")</f>
        <v>0</v>
      </c>
      <c r="B324" t="s">
        <v>57</v>
      </c>
      <c r="C324" t="s">
        <v>82</v>
      </c>
      <c r="D324" t="s">
        <v>98</v>
      </c>
      <c r="E324" t="s">
        <v>98</v>
      </c>
      <c r="F324" t="s">
        <v>590</v>
      </c>
      <c r="G324" t="s">
        <v>1654</v>
      </c>
      <c r="H324" t="s">
        <v>2798</v>
      </c>
      <c r="I324" t="s">
        <v>3974</v>
      </c>
      <c r="J324" t="s">
        <v>4236</v>
      </c>
      <c r="K324">
        <v>11416</v>
      </c>
      <c r="L324" t="s">
        <v>4276</v>
      </c>
      <c r="M324" t="s">
        <v>4276</v>
      </c>
      <c r="O324" t="s">
        <v>4282</v>
      </c>
      <c r="P324" t="s">
        <v>4602</v>
      </c>
      <c r="Q324" t="s">
        <v>5732</v>
      </c>
      <c r="R324" t="s">
        <v>5753</v>
      </c>
      <c r="S324" t="s">
        <v>5759</v>
      </c>
      <c r="T324" t="s">
        <v>4276</v>
      </c>
      <c r="V324" t="s">
        <v>5767</v>
      </c>
      <c r="W324" t="s">
        <v>5772</v>
      </c>
      <c r="X324" t="s">
        <v>135</v>
      </c>
      <c r="Y324">
        <v>775</v>
      </c>
      <c r="Z324" t="s">
        <v>5803</v>
      </c>
      <c r="AA324" t="s">
        <v>5808</v>
      </c>
      <c r="AB324" t="s">
        <v>5821</v>
      </c>
      <c r="AC324" t="s">
        <v>6140</v>
      </c>
      <c r="AE324" t="s">
        <v>8152</v>
      </c>
      <c r="AF324">
        <v>8</v>
      </c>
      <c r="AG324" t="s">
        <v>9269</v>
      </c>
      <c r="AH324" t="s">
        <v>4280</v>
      </c>
      <c r="AI324">
        <v>30</v>
      </c>
      <c r="AJ324">
        <v>1</v>
      </c>
      <c r="AK324">
        <v>0</v>
      </c>
      <c r="AL324">
        <v>329.49</v>
      </c>
      <c r="AO324" t="s">
        <v>1425</v>
      </c>
      <c r="AP324">
        <v>40000</v>
      </c>
      <c r="AV324">
        <v>3.4</v>
      </c>
      <c r="AW324" t="s">
        <v>57</v>
      </c>
    </row>
    <row r="325" spans="1:49">
      <c r="A325" s="1">
        <f>HYPERLINK("https://cms.ls-nyc.org/matter/dynamic-profile/view/1873972","18-1873972")</f>
        <v>0</v>
      </c>
      <c r="B325" t="s">
        <v>58</v>
      </c>
      <c r="C325" t="s">
        <v>82</v>
      </c>
      <c r="D325" t="s">
        <v>131</v>
      </c>
      <c r="E325" t="s">
        <v>118</v>
      </c>
      <c r="F325" t="s">
        <v>591</v>
      </c>
      <c r="G325" t="s">
        <v>1655</v>
      </c>
      <c r="H325" t="s">
        <v>2799</v>
      </c>
      <c r="I325">
        <v>18</v>
      </c>
      <c r="J325" t="s">
        <v>4234</v>
      </c>
      <c r="K325">
        <v>11103</v>
      </c>
      <c r="L325" t="s">
        <v>4275</v>
      </c>
      <c r="M325" t="s">
        <v>4275</v>
      </c>
      <c r="O325" t="s">
        <v>4284</v>
      </c>
      <c r="P325" t="s">
        <v>4381</v>
      </c>
      <c r="Q325" t="s">
        <v>4698</v>
      </c>
      <c r="R325" t="s">
        <v>5753</v>
      </c>
      <c r="S325" t="s">
        <v>5759</v>
      </c>
      <c r="T325" t="s">
        <v>4276</v>
      </c>
      <c r="V325" t="s">
        <v>5767</v>
      </c>
      <c r="W325" t="s">
        <v>5772</v>
      </c>
      <c r="X325" t="s">
        <v>131</v>
      </c>
      <c r="Y325">
        <v>1300</v>
      </c>
      <c r="Z325" t="s">
        <v>5803</v>
      </c>
      <c r="AA325" t="s">
        <v>5815</v>
      </c>
      <c r="AB325" t="s">
        <v>5821</v>
      </c>
      <c r="AC325" t="s">
        <v>6141</v>
      </c>
      <c r="AE325" t="s">
        <v>8153</v>
      </c>
      <c r="AF325">
        <v>24</v>
      </c>
      <c r="AG325" t="s">
        <v>9272</v>
      </c>
      <c r="AH325" t="s">
        <v>4280</v>
      </c>
      <c r="AI325">
        <v>1</v>
      </c>
      <c r="AJ325">
        <v>1</v>
      </c>
      <c r="AK325">
        <v>1</v>
      </c>
      <c r="AL325">
        <v>0</v>
      </c>
      <c r="AM325" t="s">
        <v>9291</v>
      </c>
      <c r="AN325" t="s">
        <v>9295</v>
      </c>
      <c r="AO325" t="s">
        <v>9306</v>
      </c>
      <c r="AP325">
        <v>0</v>
      </c>
      <c r="AV325">
        <v>1.3</v>
      </c>
      <c r="AW325" t="s">
        <v>58</v>
      </c>
    </row>
    <row r="326" spans="1:49">
      <c r="A326" s="1">
        <f>HYPERLINK("https://cms.ls-nyc.org/matter/dynamic-profile/view/1873362","18-1873362")</f>
        <v>0</v>
      </c>
      <c r="B326" t="s">
        <v>58</v>
      </c>
      <c r="C326" t="s">
        <v>82</v>
      </c>
      <c r="D326" t="s">
        <v>153</v>
      </c>
      <c r="E326" t="s">
        <v>278</v>
      </c>
      <c r="F326" t="s">
        <v>333</v>
      </c>
      <c r="G326" t="s">
        <v>1656</v>
      </c>
      <c r="H326" t="s">
        <v>2800</v>
      </c>
      <c r="J326" t="s">
        <v>4241</v>
      </c>
      <c r="K326">
        <v>11368</v>
      </c>
      <c r="L326" t="s">
        <v>4275</v>
      </c>
      <c r="M326" t="s">
        <v>4275</v>
      </c>
      <c r="O326" t="s">
        <v>4284</v>
      </c>
      <c r="P326" t="s">
        <v>4280</v>
      </c>
      <c r="Q326" t="s">
        <v>4698</v>
      </c>
      <c r="R326" t="s">
        <v>5753</v>
      </c>
      <c r="S326" t="s">
        <v>5759</v>
      </c>
      <c r="T326" t="s">
        <v>4276</v>
      </c>
      <c r="V326" t="s">
        <v>5767</v>
      </c>
      <c r="W326" t="s">
        <v>5772</v>
      </c>
      <c r="X326" t="s">
        <v>153</v>
      </c>
      <c r="Y326">
        <v>1603.78</v>
      </c>
      <c r="Z326" t="s">
        <v>5803</v>
      </c>
      <c r="AA326" t="s">
        <v>5815</v>
      </c>
      <c r="AB326" t="s">
        <v>5821</v>
      </c>
      <c r="AC326" t="s">
        <v>6142</v>
      </c>
      <c r="AE326" t="s">
        <v>8154</v>
      </c>
      <c r="AF326">
        <v>216</v>
      </c>
      <c r="AG326" t="s">
        <v>9272</v>
      </c>
      <c r="AH326" t="s">
        <v>4280</v>
      </c>
      <c r="AI326">
        <v>9</v>
      </c>
      <c r="AJ326">
        <v>2</v>
      </c>
      <c r="AK326">
        <v>0</v>
      </c>
      <c r="AL326">
        <v>189.68</v>
      </c>
      <c r="AM326" t="s">
        <v>9291</v>
      </c>
      <c r="AN326" t="s">
        <v>9295</v>
      </c>
      <c r="AO326" t="s">
        <v>9298</v>
      </c>
      <c r="AP326">
        <v>31222.1</v>
      </c>
      <c r="AV326">
        <v>1.2</v>
      </c>
      <c r="AW326" t="s">
        <v>58</v>
      </c>
    </row>
    <row r="327" spans="1:49">
      <c r="A327" s="1">
        <f>HYPERLINK("https://cms.ls-nyc.org/matter/dynamic-profile/view/1874511","18-1874511")</f>
        <v>0</v>
      </c>
      <c r="B327" t="s">
        <v>58</v>
      </c>
      <c r="C327" t="s">
        <v>82</v>
      </c>
      <c r="D327" t="s">
        <v>212</v>
      </c>
      <c r="E327" t="s">
        <v>215</v>
      </c>
      <c r="F327" t="s">
        <v>592</v>
      </c>
      <c r="G327" t="s">
        <v>1657</v>
      </c>
      <c r="H327" t="s">
        <v>2801</v>
      </c>
      <c r="J327" t="s">
        <v>4226</v>
      </c>
      <c r="K327">
        <v>11385</v>
      </c>
      <c r="L327" t="s">
        <v>4275</v>
      </c>
      <c r="M327" t="s">
        <v>4275</v>
      </c>
      <c r="O327" t="s">
        <v>4282</v>
      </c>
      <c r="P327" t="s">
        <v>4603</v>
      </c>
      <c r="Q327" t="s">
        <v>5732</v>
      </c>
      <c r="R327" t="s">
        <v>5753</v>
      </c>
      <c r="S327" t="s">
        <v>5759</v>
      </c>
      <c r="T327" t="s">
        <v>4276</v>
      </c>
      <c r="V327" t="s">
        <v>5767</v>
      </c>
      <c r="W327" t="s">
        <v>5772</v>
      </c>
      <c r="X327" t="s">
        <v>5783</v>
      </c>
      <c r="Y327">
        <v>1350</v>
      </c>
      <c r="Z327" t="s">
        <v>5803</v>
      </c>
      <c r="AA327" t="s">
        <v>5804</v>
      </c>
      <c r="AB327" t="s">
        <v>5821</v>
      </c>
      <c r="AC327" t="s">
        <v>6143</v>
      </c>
      <c r="AD327" t="s">
        <v>4280</v>
      </c>
      <c r="AE327" t="s">
        <v>8155</v>
      </c>
      <c r="AF327">
        <v>6</v>
      </c>
      <c r="AG327" t="s">
        <v>9272</v>
      </c>
      <c r="AH327" t="s">
        <v>4280</v>
      </c>
      <c r="AI327">
        <v>8</v>
      </c>
      <c r="AJ327">
        <v>3</v>
      </c>
      <c r="AK327">
        <v>0</v>
      </c>
      <c r="AL327">
        <v>348.41</v>
      </c>
      <c r="AO327" t="s">
        <v>1425</v>
      </c>
      <c r="AP327">
        <v>72400</v>
      </c>
      <c r="AV327">
        <v>0.1</v>
      </c>
      <c r="AW327" t="s">
        <v>73</v>
      </c>
    </row>
    <row r="328" spans="1:49">
      <c r="A328" s="1">
        <f>HYPERLINK("https://cms.ls-nyc.org/matter/dynamic-profile/view/1876299","18-1876299")</f>
        <v>0</v>
      </c>
      <c r="B328" t="s">
        <v>59</v>
      </c>
      <c r="C328" t="s">
        <v>82</v>
      </c>
      <c r="D328" t="s">
        <v>194</v>
      </c>
      <c r="E328" t="s">
        <v>189</v>
      </c>
      <c r="F328" t="s">
        <v>593</v>
      </c>
      <c r="G328" t="s">
        <v>1658</v>
      </c>
      <c r="H328" t="s">
        <v>2802</v>
      </c>
      <c r="J328" t="s">
        <v>4243</v>
      </c>
      <c r="K328">
        <v>11691</v>
      </c>
      <c r="L328" t="s">
        <v>4275</v>
      </c>
      <c r="M328" t="s">
        <v>4275</v>
      </c>
      <c r="O328" t="s">
        <v>4283</v>
      </c>
      <c r="P328" t="s">
        <v>4604</v>
      </c>
      <c r="Q328" t="s">
        <v>5737</v>
      </c>
      <c r="R328" t="s">
        <v>5753</v>
      </c>
      <c r="S328" t="s">
        <v>5759</v>
      </c>
      <c r="T328" t="s">
        <v>4276</v>
      </c>
      <c r="V328" t="s">
        <v>5770</v>
      </c>
      <c r="W328" t="s">
        <v>5772</v>
      </c>
      <c r="X328" t="s">
        <v>178</v>
      </c>
      <c r="Y328">
        <v>1895</v>
      </c>
      <c r="Z328" t="s">
        <v>5803</v>
      </c>
      <c r="AA328" t="s">
        <v>5808</v>
      </c>
      <c r="AB328" t="s">
        <v>5821</v>
      </c>
      <c r="AC328" t="s">
        <v>6144</v>
      </c>
      <c r="AD328" t="s">
        <v>4700</v>
      </c>
      <c r="AE328" t="s">
        <v>8156</v>
      </c>
      <c r="AF328">
        <v>3</v>
      </c>
      <c r="AG328" t="s">
        <v>9268</v>
      </c>
      <c r="AH328" t="s">
        <v>9282</v>
      </c>
      <c r="AI328">
        <v>5</v>
      </c>
      <c r="AJ328">
        <v>3</v>
      </c>
      <c r="AK328">
        <v>0</v>
      </c>
      <c r="AL328">
        <v>0</v>
      </c>
      <c r="AO328" t="s">
        <v>1425</v>
      </c>
      <c r="AP328">
        <v>0</v>
      </c>
      <c r="AV328">
        <v>1.7</v>
      </c>
      <c r="AW328" t="s">
        <v>9551</v>
      </c>
    </row>
    <row r="329" spans="1:49">
      <c r="A329" s="1">
        <f>HYPERLINK("https://cms.ls-nyc.org/matter/dynamic-profile/view/1890639","19-1890639")</f>
        <v>0</v>
      </c>
      <c r="B329" t="s">
        <v>59</v>
      </c>
      <c r="C329" t="s">
        <v>83</v>
      </c>
      <c r="D329" t="s">
        <v>109</v>
      </c>
      <c r="F329" t="s">
        <v>594</v>
      </c>
      <c r="G329" t="s">
        <v>1659</v>
      </c>
      <c r="H329" t="s">
        <v>2803</v>
      </c>
      <c r="J329" t="s">
        <v>4222</v>
      </c>
      <c r="K329">
        <v>11434</v>
      </c>
      <c r="L329" t="s">
        <v>4275</v>
      </c>
      <c r="M329" t="s">
        <v>4275</v>
      </c>
      <c r="O329" t="s">
        <v>4281</v>
      </c>
      <c r="P329" t="s">
        <v>4605</v>
      </c>
      <c r="Q329" t="s">
        <v>5732</v>
      </c>
      <c r="R329" t="s">
        <v>5751</v>
      </c>
      <c r="T329" t="s">
        <v>4276</v>
      </c>
      <c r="V329" t="s">
        <v>5767</v>
      </c>
      <c r="W329" t="s">
        <v>5775</v>
      </c>
      <c r="X329" t="s">
        <v>109</v>
      </c>
      <c r="Y329">
        <v>800</v>
      </c>
      <c r="Z329" t="s">
        <v>5803</v>
      </c>
      <c r="AA329" t="s">
        <v>5805</v>
      </c>
      <c r="AC329" t="s">
        <v>6145</v>
      </c>
      <c r="AF329">
        <v>4</v>
      </c>
      <c r="AG329" t="s">
        <v>9269</v>
      </c>
      <c r="AH329" t="s">
        <v>4280</v>
      </c>
      <c r="AI329">
        <v>5</v>
      </c>
      <c r="AJ329">
        <v>1</v>
      </c>
      <c r="AK329">
        <v>1</v>
      </c>
      <c r="AL329">
        <v>0</v>
      </c>
      <c r="AO329" t="s">
        <v>1425</v>
      </c>
      <c r="AP329">
        <v>0</v>
      </c>
      <c r="AR329" t="s">
        <v>9329</v>
      </c>
      <c r="AS329" t="s">
        <v>9349</v>
      </c>
      <c r="AT329" t="s">
        <v>9370</v>
      </c>
      <c r="AU329" t="s">
        <v>9448</v>
      </c>
      <c r="AV329">
        <v>0.6</v>
      </c>
      <c r="AW329" t="s">
        <v>59</v>
      </c>
    </row>
    <row r="330" spans="1:49">
      <c r="A330" s="1">
        <f>HYPERLINK("https://cms.ls-nyc.org/matter/dynamic-profile/view/1887365","19-1887365")</f>
        <v>0</v>
      </c>
      <c r="B330" t="s">
        <v>59</v>
      </c>
      <c r="C330" t="s">
        <v>82</v>
      </c>
      <c r="D330" t="s">
        <v>183</v>
      </c>
      <c r="E330" t="s">
        <v>216</v>
      </c>
      <c r="F330" t="s">
        <v>595</v>
      </c>
      <c r="G330" t="s">
        <v>1660</v>
      </c>
      <c r="H330" t="s">
        <v>2804</v>
      </c>
      <c r="I330" t="s">
        <v>3975</v>
      </c>
      <c r="J330" t="s">
        <v>4222</v>
      </c>
      <c r="K330">
        <v>11434</v>
      </c>
      <c r="L330" t="s">
        <v>4275</v>
      </c>
      <c r="M330" t="s">
        <v>4275</v>
      </c>
      <c r="N330" t="s">
        <v>4278</v>
      </c>
      <c r="O330" t="s">
        <v>4281</v>
      </c>
      <c r="P330" t="s">
        <v>4606</v>
      </c>
      <c r="Q330" t="s">
        <v>5731</v>
      </c>
      <c r="R330" t="s">
        <v>5751</v>
      </c>
      <c r="S330" t="s">
        <v>5758</v>
      </c>
      <c r="T330" t="s">
        <v>4276</v>
      </c>
      <c r="V330" t="s">
        <v>5767</v>
      </c>
      <c r="W330" t="s">
        <v>5772</v>
      </c>
      <c r="X330" t="s">
        <v>129</v>
      </c>
      <c r="Y330">
        <v>743</v>
      </c>
      <c r="Z330" t="s">
        <v>5803</v>
      </c>
      <c r="AA330" t="s">
        <v>5804</v>
      </c>
      <c r="AB330" t="s">
        <v>5820</v>
      </c>
      <c r="AC330" t="s">
        <v>6146</v>
      </c>
      <c r="AE330" t="s">
        <v>8157</v>
      </c>
      <c r="AF330">
        <v>5860</v>
      </c>
      <c r="AG330" t="s">
        <v>9270</v>
      </c>
      <c r="AH330" t="s">
        <v>4280</v>
      </c>
      <c r="AI330">
        <v>14</v>
      </c>
      <c r="AJ330">
        <v>1</v>
      </c>
      <c r="AK330">
        <v>0</v>
      </c>
      <c r="AL330">
        <v>0</v>
      </c>
      <c r="AO330" t="s">
        <v>1425</v>
      </c>
      <c r="AP330">
        <v>0</v>
      </c>
      <c r="AR330" t="s">
        <v>9329</v>
      </c>
      <c r="AS330" t="s">
        <v>9339</v>
      </c>
      <c r="AT330" t="s">
        <v>9369</v>
      </c>
      <c r="AU330" t="s">
        <v>9376</v>
      </c>
      <c r="AV330">
        <v>13.9</v>
      </c>
      <c r="AW330" t="s">
        <v>54</v>
      </c>
    </row>
    <row r="331" spans="1:49">
      <c r="A331" s="1">
        <f>HYPERLINK("https://cms.ls-nyc.org/matter/dynamic-profile/view/1886676","18-1886676")</f>
        <v>0</v>
      </c>
      <c r="B331" t="s">
        <v>59</v>
      </c>
      <c r="C331" t="s">
        <v>83</v>
      </c>
      <c r="D331" t="s">
        <v>207</v>
      </c>
      <c r="F331" t="s">
        <v>596</v>
      </c>
      <c r="G331" t="s">
        <v>1661</v>
      </c>
      <c r="H331" t="s">
        <v>2805</v>
      </c>
      <c r="I331" t="s">
        <v>3867</v>
      </c>
      <c r="J331" t="s">
        <v>4222</v>
      </c>
      <c r="K331">
        <v>11433</v>
      </c>
      <c r="L331" t="s">
        <v>4275</v>
      </c>
      <c r="M331" t="s">
        <v>4277</v>
      </c>
      <c r="O331" t="s">
        <v>4282</v>
      </c>
      <c r="P331" t="s">
        <v>4607</v>
      </c>
      <c r="Q331" t="s">
        <v>5732</v>
      </c>
      <c r="R331" t="s">
        <v>5751</v>
      </c>
      <c r="T331" t="s">
        <v>4276</v>
      </c>
      <c r="V331" t="s">
        <v>5767</v>
      </c>
      <c r="Y331">
        <v>0</v>
      </c>
      <c r="Z331" t="s">
        <v>5803</v>
      </c>
      <c r="AA331" t="s">
        <v>5805</v>
      </c>
      <c r="AC331" t="s">
        <v>6147</v>
      </c>
      <c r="AE331" t="s">
        <v>7289</v>
      </c>
      <c r="AF331">
        <v>0</v>
      </c>
      <c r="AG331" t="s">
        <v>9270</v>
      </c>
      <c r="AI331">
        <v>3</v>
      </c>
      <c r="AJ331">
        <v>2</v>
      </c>
      <c r="AK331">
        <v>1</v>
      </c>
      <c r="AL331">
        <v>0</v>
      </c>
      <c r="AO331" t="s">
        <v>1425</v>
      </c>
      <c r="AP331">
        <v>0</v>
      </c>
      <c r="AV331">
        <v>11</v>
      </c>
      <c r="AW331" t="s">
        <v>54</v>
      </c>
    </row>
    <row r="332" spans="1:49">
      <c r="A332" s="1">
        <f>HYPERLINK("https://cms.ls-nyc.org/matter/dynamic-profile/view/1900746","19-1900746")</f>
        <v>0</v>
      </c>
      <c r="B332" t="s">
        <v>59</v>
      </c>
      <c r="C332" t="s">
        <v>83</v>
      </c>
      <c r="D332" t="s">
        <v>97</v>
      </c>
      <c r="F332" t="s">
        <v>597</v>
      </c>
      <c r="G332" t="s">
        <v>1662</v>
      </c>
      <c r="H332" t="s">
        <v>2806</v>
      </c>
      <c r="J332" t="s">
        <v>4222</v>
      </c>
      <c r="K332">
        <v>11433</v>
      </c>
      <c r="L332" t="s">
        <v>4275</v>
      </c>
      <c r="M332" t="s">
        <v>4277</v>
      </c>
      <c r="N332" t="s">
        <v>4278</v>
      </c>
      <c r="O332" t="s">
        <v>4281</v>
      </c>
      <c r="P332" t="s">
        <v>4608</v>
      </c>
      <c r="Q332" t="s">
        <v>5732</v>
      </c>
      <c r="R332" t="s">
        <v>5751</v>
      </c>
      <c r="T332" t="s">
        <v>4276</v>
      </c>
      <c r="V332" t="s">
        <v>5767</v>
      </c>
      <c r="X332" t="s">
        <v>97</v>
      </c>
      <c r="Y332">
        <v>800</v>
      </c>
      <c r="Z332" t="s">
        <v>5803</v>
      </c>
      <c r="AA332" t="s">
        <v>5805</v>
      </c>
      <c r="AC332" t="s">
        <v>6148</v>
      </c>
      <c r="AE332" t="s">
        <v>8158</v>
      </c>
      <c r="AF332">
        <v>2</v>
      </c>
      <c r="AG332" t="s">
        <v>9270</v>
      </c>
      <c r="AH332" t="s">
        <v>4280</v>
      </c>
      <c r="AI332">
        <v>13</v>
      </c>
      <c r="AJ332">
        <v>1</v>
      </c>
      <c r="AK332">
        <v>0</v>
      </c>
      <c r="AL332">
        <v>0</v>
      </c>
      <c r="AO332" t="s">
        <v>1425</v>
      </c>
      <c r="AP332">
        <v>0</v>
      </c>
      <c r="AV332">
        <v>0.4</v>
      </c>
      <c r="AW332" t="s">
        <v>54</v>
      </c>
    </row>
    <row r="333" spans="1:49">
      <c r="A333" s="1">
        <f>HYPERLINK("https://cms.ls-nyc.org/matter/dynamic-profile/view/1886678","18-1886678")</f>
        <v>0</v>
      </c>
      <c r="B333" t="s">
        <v>59</v>
      </c>
      <c r="C333" t="s">
        <v>83</v>
      </c>
      <c r="D333" t="s">
        <v>207</v>
      </c>
      <c r="F333" t="s">
        <v>598</v>
      </c>
      <c r="G333" t="s">
        <v>1663</v>
      </c>
      <c r="H333" t="s">
        <v>2807</v>
      </c>
      <c r="J333" t="s">
        <v>4222</v>
      </c>
      <c r="K333">
        <v>11433</v>
      </c>
      <c r="L333" t="s">
        <v>4275</v>
      </c>
      <c r="M333" t="s">
        <v>4275</v>
      </c>
      <c r="O333" t="s">
        <v>4282</v>
      </c>
      <c r="P333" t="s">
        <v>4609</v>
      </c>
      <c r="Q333" t="s">
        <v>5731</v>
      </c>
      <c r="R333" t="s">
        <v>5752</v>
      </c>
      <c r="T333" t="s">
        <v>4276</v>
      </c>
      <c r="V333" t="s">
        <v>5767</v>
      </c>
      <c r="Y333">
        <v>0</v>
      </c>
      <c r="Z333" t="s">
        <v>5803</v>
      </c>
      <c r="AA333" t="s">
        <v>5805</v>
      </c>
      <c r="AC333" t="s">
        <v>6149</v>
      </c>
      <c r="AE333" t="s">
        <v>8159</v>
      </c>
      <c r="AF333">
        <v>0</v>
      </c>
      <c r="AG333" t="s">
        <v>9270</v>
      </c>
      <c r="AH333" t="s">
        <v>9283</v>
      </c>
      <c r="AI333">
        <v>2</v>
      </c>
      <c r="AJ333">
        <v>1</v>
      </c>
      <c r="AK333">
        <v>1</v>
      </c>
      <c r="AL333">
        <v>0</v>
      </c>
      <c r="AO333" t="s">
        <v>1425</v>
      </c>
      <c r="AP333">
        <v>0</v>
      </c>
      <c r="AV333">
        <v>3.6</v>
      </c>
      <c r="AW333" t="s">
        <v>54</v>
      </c>
    </row>
    <row r="334" spans="1:49">
      <c r="A334" s="1">
        <f>HYPERLINK("https://cms.ls-nyc.org/matter/dynamic-profile/view/1893128","19-1893128")</f>
        <v>0</v>
      </c>
      <c r="B334" t="s">
        <v>59</v>
      </c>
      <c r="C334" t="s">
        <v>82</v>
      </c>
      <c r="D334" t="s">
        <v>114</v>
      </c>
      <c r="E334" t="s">
        <v>216</v>
      </c>
      <c r="F334" t="s">
        <v>599</v>
      </c>
      <c r="G334" t="s">
        <v>1664</v>
      </c>
      <c r="H334" t="s">
        <v>2808</v>
      </c>
      <c r="J334" t="s">
        <v>4263</v>
      </c>
      <c r="K334">
        <v>11426</v>
      </c>
      <c r="L334" t="s">
        <v>4275</v>
      </c>
      <c r="M334" t="s">
        <v>4275</v>
      </c>
      <c r="N334" t="s">
        <v>4278</v>
      </c>
      <c r="O334" t="s">
        <v>4282</v>
      </c>
      <c r="P334" t="s">
        <v>4610</v>
      </c>
      <c r="Q334" t="s">
        <v>5731</v>
      </c>
      <c r="R334" t="s">
        <v>5753</v>
      </c>
      <c r="S334" t="s">
        <v>5759</v>
      </c>
      <c r="T334" t="s">
        <v>4275</v>
      </c>
      <c r="V334" t="s">
        <v>5767</v>
      </c>
      <c r="W334" t="s">
        <v>5772</v>
      </c>
      <c r="X334" t="s">
        <v>114</v>
      </c>
      <c r="Y334">
        <v>1189</v>
      </c>
      <c r="Z334" t="s">
        <v>5803</v>
      </c>
      <c r="AA334" t="s">
        <v>5804</v>
      </c>
      <c r="AB334" t="s">
        <v>5821</v>
      </c>
      <c r="AC334" t="s">
        <v>6150</v>
      </c>
      <c r="AF334">
        <v>50</v>
      </c>
      <c r="AG334" t="s">
        <v>9272</v>
      </c>
      <c r="AH334" t="s">
        <v>4280</v>
      </c>
      <c r="AI334">
        <v>60</v>
      </c>
      <c r="AJ334">
        <v>1</v>
      </c>
      <c r="AK334">
        <v>0</v>
      </c>
      <c r="AL334">
        <v>0</v>
      </c>
      <c r="AO334" t="s">
        <v>1425</v>
      </c>
      <c r="AP334">
        <v>0</v>
      </c>
      <c r="AV334">
        <v>0.6</v>
      </c>
      <c r="AW334" t="s">
        <v>9547</v>
      </c>
    </row>
    <row r="335" spans="1:49">
      <c r="A335" s="1">
        <f>HYPERLINK("https://cms.ls-nyc.org/matter/dynamic-profile/view/1899906","19-1899906")</f>
        <v>0</v>
      </c>
      <c r="B335" t="s">
        <v>59</v>
      </c>
      <c r="C335" t="s">
        <v>83</v>
      </c>
      <c r="D335" t="s">
        <v>95</v>
      </c>
      <c r="F335" t="s">
        <v>500</v>
      </c>
      <c r="G335" t="s">
        <v>1665</v>
      </c>
      <c r="H335" t="s">
        <v>2809</v>
      </c>
      <c r="I335" t="s">
        <v>3909</v>
      </c>
      <c r="J335" t="s">
        <v>4239</v>
      </c>
      <c r="K335">
        <v>11420</v>
      </c>
      <c r="L335" t="s">
        <v>4277</v>
      </c>
      <c r="M335" t="s">
        <v>4277</v>
      </c>
      <c r="O335" t="s">
        <v>4282</v>
      </c>
      <c r="P335" t="s">
        <v>4611</v>
      </c>
      <c r="Q335" t="s">
        <v>5732</v>
      </c>
      <c r="V335" t="s">
        <v>5767</v>
      </c>
      <c r="Y335">
        <v>1200</v>
      </c>
      <c r="Z335" t="s">
        <v>5803</v>
      </c>
      <c r="AA335" t="s">
        <v>5804</v>
      </c>
      <c r="AC335" t="s">
        <v>6151</v>
      </c>
      <c r="AD335" t="s">
        <v>7429</v>
      </c>
      <c r="AE335" t="s">
        <v>8160</v>
      </c>
      <c r="AF335">
        <v>2</v>
      </c>
      <c r="AG335" t="s">
        <v>9269</v>
      </c>
      <c r="AH335" t="s">
        <v>4280</v>
      </c>
      <c r="AI335">
        <v>7</v>
      </c>
      <c r="AJ335">
        <v>2</v>
      </c>
      <c r="AK335">
        <v>2</v>
      </c>
      <c r="AL335">
        <v>0</v>
      </c>
      <c r="AO335" t="s">
        <v>1425</v>
      </c>
      <c r="AP335">
        <v>0</v>
      </c>
      <c r="AV335">
        <v>1</v>
      </c>
      <c r="AW335" t="s">
        <v>9549</v>
      </c>
    </row>
    <row r="336" spans="1:49">
      <c r="A336" s="1">
        <f>HYPERLINK("https://cms.ls-nyc.org/matter/dynamic-profile/view/1873900","18-1873900")</f>
        <v>0</v>
      </c>
      <c r="B336" t="s">
        <v>59</v>
      </c>
      <c r="C336" t="s">
        <v>82</v>
      </c>
      <c r="D336" t="s">
        <v>131</v>
      </c>
      <c r="E336" t="s">
        <v>187</v>
      </c>
      <c r="F336" t="s">
        <v>600</v>
      </c>
      <c r="G336" t="s">
        <v>1666</v>
      </c>
      <c r="H336" t="s">
        <v>2810</v>
      </c>
      <c r="I336" t="s">
        <v>3927</v>
      </c>
      <c r="J336" t="s">
        <v>4225</v>
      </c>
      <c r="K336">
        <v>11385</v>
      </c>
      <c r="L336" t="s">
        <v>4275</v>
      </c>
      <c r="M336" t="s">
        <v>4275</v>
      </c>
      <c r="O336" t="s">
        <v>4281</v>
      </c>
      <c r="P336" t="s">
        <v>4612</v>
      </c>
      <c r="Q336" t="s">
        <v>5732</v>
      </c>
      <c r="R336" t="s">
        <v>5751</v>
      </c>
      <c r="S336" t="s">
        <v>5758</v>
      </c>
      <c r="T336" t="s">
        <v>4276</v>
      </c>
      <c r="V336" t="s">
        <v>5767</v>
      </c>
      <c r="W336" t="s">
        <v>5772</v>
      </c>
      <c r="X336" t="s">
        <v>131</v>
      </c>
      <c r="Y336">
        <v>1200</v>
      </c>
      <c r="Z336" t="s">
        <v>5803</v>
      </c>
      <c r="AA336" t="s">
        <v>5804</v>
      </c>
      <c r="AB336" t="s">
        <v>5822</v>
      </c>
      <c r="AC336" t="s">
        <v>6152</v>
      </c>
      <c r="AE336" t="s">
        <v>8161</v>
      </c>
      <c r="AF336">
        <v>2</v>
      </c>
      <c r="AG336" t="s">
        <v>9269</v>
      </c>
      <c r="AH336" t="s">
        <v>4280</v>
      </c>
      <c r="AI336">
        <v>1</v>
      </c>
      <c r="AJ336">
        <v>1</v>
      </c>
      <c r="AK336">
        <v>0</v>
      </c>
      <c r="AL336">
        <v>0</v>
      </c>
      <c r="AO336" t="s">
        <v>1425</v>
      </c>
      <c r="AP336">
        <v>0</v>
      </c>
      <c r="AR336" t="s">
        <v>9327</v>
      </c>
      <c r="AS336" t="s">
        <v>5806</v>
      </c>
      <c r="AT336" t="s">
        <v>9370</v>
      </c>
      <c r="AU336" t="s">
        <v>9449</v>
      </c>
      <c r="AV336">
        <v>6.1</v>
      </c>
      <c r="AW336" t="s">
        <v>74</v>
      </c>
    </row>
    <row r="337" spans="1:49">
      <c r="A337" s="1">
        <f>HYPERLINK("https://cms.ls-nyc.org/matter/dynamic-profile/view/1872510","18-1872510")</f>
        <v>0</v>
      </c>
      <c r="B337" t="s">
        <v>59</v>
      </c>
      <c r="C337" t="s">
        <v>82</v>
      </c>
      <c r="D337" t="s">
        <v>195</v>
      </c>
      <c r="E337" t="s">
        <v>196</v>
      </c>
      <c r="F337" t="s">
        <v>340</v>
      </c>
      <c r="G337" t="s">
        <v>1667</v>
      </c>
      <c r="H337" t="s">
        <v>2811</v>
      </c>
      <c r="I337" t="s">
        <v>3883</v>
      </c>
      <c r="J337" t="s">
        <v>4233</v>
      </c>
      <c r="K337">
        <v>11375</v>
      </c>
      <c r="L337" t="s">
        <v>4275</v>
      </c>
      <c r="M337" t="s">
        <v>4275</v>
      </c>
      <c r="O337" t="s">
        <v>4282</v>
      </c>
      <c r="P337" t="s">
        <v>4613</v>
      </c>
      <c r="Q337" t="s">
        <v>5732</v>
      </c>
      <c r="R337" t="s">
        <v>5753</v>
      </c>
      <c r="S337" t="s">
        <v>5759</v>
      </c>
      <c r="T337" t="s">
        <v>4276</v>
      </c>
      <c r="V337" t="s">
        <v>5767</v>
      </c>
      <c r="W337" t="s">
        <v>5772</v>
      </c>
      <c r="X337" t="s">
        <v>257</v>
      </c>
      <c r="Y337">
        <v>2100</v>
      </c>
      <c r="Z337" t="s">
        <v>5803</v>
      </c>
      <c r="AA337" t="s">
        <v>5804</v>
      </c>
      <c r="AB337" t="s">
        <v>5821</v>
      </c>
      <c r="AC337" t="s">
        <v>6153</v>
      </c>
      <c r="AD337" t="s">
        <v>7430</v>
      </c>
      <c r="AE337" t="s">
        <v>8162</v>
      </c>
      <c r="AF337">
        <v>37</v>
      </c>
      <c r="AG337" t="s">
        <v>9272</v>
      </c>
      <c r="AH337" t="s">
        <v>4280</v>
      </c>
      <c r="AI337">
        <v>1</v>
      </c>
      <c r="AJ337">
        <v>2</v>
      </c>
      <c r="AK337">
        <v>2</v>
      </c>
      <c r="AL337">
        <v>0</v>
      </c>
      <c r="AN337" t="s">
        <v>9294</v>
      </c>
      <c r="AO337" t="s">
        <v>1425</v>
      </c>
      <c r="AP337">
        <v>0</v>
      </c>
      <c r="AV337">
        <v>0.1</v>
      </c>
      <c r="AW337" t="s">
        <v>54</v>
      </c>
    </row>
    <row r="338" spans="1:49">
      <c r="A338" s="1">
        <f>HYPERLINK("https://cms.ls-nyc.org/matter/dynamic-profile/view/1890979","19-1890979")</f>
        <v>0</v>
      </c>
      <c r="B338" t="s">
        <v>59</v>
      </c>
      <c r="C338" t="s">
        <v>82</v>
      </c>
      <c r="D338" t="s">
        <v>98</v>
      </c>
      <c r="E338" t="s">
        <v>288</v>
      </c>
      <c r="F338" t="s">
        <v>601</v>
      </c>
      <c r="G338" t="s">
        <v>1668</v>
      </c>
      <c r="H338" t="s">
        <v>2812</v>
      </c>
      <c r="I338" t="s">
        <v>3976</v>
      </c>
      <c r="J338" t="s">
        <v>4258</v>
      </c>
      <c r="K338">
        <v>11370</v>
      </c>
      <c r="L338" t="s">
        <v>4275</v>
      </c>
      <c r="M338" t="s">
        <v>4275</v>
      </c>
      <c r="N338" t="s">
        <v>4278</v>
      </c>
      <c r="O338" t="s">
        <v>4282</v>
      </c>
      <c r="P338" t="s">
        <v>4614</v>
      </c>
      <c r="Q338" t="s">
        <v>5732</v>
      </c>
      <c r="R338" t="s">
        <v>5753</v>
      </c>
      <c r="S338" t="s">
        <v>5759</v>
      </c>
      <c r="T338" t="s">
        <v>4276</v>
      </c>
      <c r="V338" t="s">
        <v>5767</v>
      </c>
      <c r="W338" t="s">
        <v>5771</v>
      </c>
      <c r="X338" t="s">
        <v>98</v>
      </c>
      <c r="Y338">
        <v>2000</v>
      </c>
      <c r="Z338" t="s">
        <v>5803</v>
      </c>
      <c r="AA338" t="s">
        <v>5804</v>
      </c>
      <c r="AB338" t="s">
        <v>5821</v>
      </c>
      <c r="AC338" t="s">
        <v>6154</v>
      </c>
      <c r="AE338" t="s">
        <v>8163</v>
      </c>
      <c r="AF338">
        <v>3</v>
      </c>
      <c r="AG338" t="s">
        <v>9269</v>
      </c>
      <c r="AH338" t="s">
        <v>4280</v>
      </c>
      <c r="AI338">
        <v>1</v>
      </c>
      <c r="AJ338">
        <v>1</v>
      </c>
      <c r="AK338">
        <v>1</v>
      </c>
      <c r="AL338">
        <v>0</v>
      </c>
      <c r="AO338" t="s">
        <v>9298</v>
      </c>
      <c r="AP338">
        <v>0</v>
      </c>
      <c r="AV338">
        <v>1</v>
      </c>
      <c r="AW338" t="s">
        <v>54</v>
      </c>
    </row>
    <row r="339" spans="1:49">
      <c r="A339" s="1">
        <f>HYPERLINK("https://cms.ls-nyc.org/matter/dynamic-profile/view/1871486","18-1871486")</f>
        <v>0</v>
      </c>
      <c r="B339" t="s">
        <v>59</v>
      </c>
      <c r="C339" t="s">
        <v>82</v>
      </c>
      <c r="D339" t="s">
        <v>102</v>
      </c>
      <c r="E339" t="s">
        <v>282</v>
      </c>
      <c r="F339" t="s">
        <v>602</v>
      </c>
      <c r="G339" t="s">
        <v>1669</v>
      </c>
      <c r="H339" t="s">
        <v>2813</v>
      </c>
      <c r="I339" t="s">
        <v>3977</v>
      </c>
      <c r="J339" t="s">
        <v>4241</v>
      </c>
      <c r="K339">
        <v>11368</v>
      </c>
      <c r="L339" t="s">
        <v>4275</v>
      </c>
      <c r="M339" t="s">
        <v>4275</v>
      </c>
      <c r="O339" t="s">
        <v>4282</v>
      </c>
      <c r="P339" t="s">
        <v>4615</v>
      </c>
      <c r="Q339" t="s">
        <v>5731</v>
      </c>
      <c r="R339" t="s">
        <v>5753</v>
      </c>
      <c r="S339" t="s">
        <v>5759</v>
      </c>
      <c r="T339" t="s">
        <v>4276</v>
      </c>
      <c r="V339" t="s">
        <v>5767</v>
      </c>
      <c r="W339" t="s">
        <v>5772</v>
      </c>
      <c r="X339" t="s">
        <v>102</v>
      </c>
      <c r="Y339">
        <v>1695</v>
      </c>
      <c r="Z339" t="s">
        <v>5803</v>
      </c>
      <c r="AA339" t="s">
        <v>5804</v>
      </c>
      <c r="AB339" t="s">
        <v>5821</v>
      </c>
      <c r="AC339" t="s">
        <v>6155</v>
      </c>
      <c r="AD339" t="s">
        <v>7431</v>
      </c>
      <c r="AE339" t="s">
        <v>8164</v>
      </c>
      <c r="AF339">
        <v>360</v>
      </c>
      <c r="AG339" t="s">
        <v>9272</v>
      </c>
      <c r="AH339" t="s">
        <v>4280</v>
      </c>
      <c r="AI339">
        <v>1</v>
      </c>
      <c r="AJ339">
        <v>1</v>
      </c>
      <c r="AK339">
        <v>0</v>
      </c>
      <c r="AL339">
        <v>0</v>
      </c>
      <c r="AO339" t="s">
        <v>1425</v>
      </c>
      <c r="AP339">
        <v>0</v>
      </c>
      <c r="AV339">
        <v>1.4</v>
      </c>
      <c r="AW339" t="s">
        <v>54</v>
      </c>
    </row>
    <row r="340" spans="1:49">
      <c r="A340" s="1">
        <f>HYPERLINK("https://cms.ls-nyc.org/matter/dynamic-profile/view/1896827","19-1896827")</f>
        <v>0</v>
      </c>
      <c r="B340" t="s">
        <v>59</v>
      </c>
      <c r="C340" t="s">
        <v>83</v>
      </c>
      <c r="D340" t="s">
        <v>213</v>
      </c>
      <c r="F340" t="s">
        <v>603</v>
      </c>
      <c r="G340" t="s">
        <v>1670</v>
      </c>
      <c r="H340" t="s">
        <v>2499</v>
      </c>
      <c r="I340">
        <v>41</v>
      </c>
      <c r="J340" t="s">
        <v>4229</v>
      </c>
      <c r="K340">
        <v>11358</v>
      </c>
      <c r="L340" t="s">
        <v>4277</v>
      </c>
      <c r="M340" t="s">
        <v>4277</v>
      </c>
      <c r="O340" t="s">
        <v>4282</v>
      </c>
      <c r="Q340" t="s">
        <v>5739</v>
      </c>
      <c r="R340" t="s">
        <v>5751</v>
      </c>
      <c r="V340" t="s">
        <v>5767</v>
      </c>
      <c r="Y340">
        <v>0</v>
      </c>
      <c r="Z340" t="s">
        <v>5803</v>
      </c>
      <c r="AC340" t="s">
        <v>5838</v>
      </c>
      <c r="AE340" t="s">
        <v>7856</v>
      </c>
      <c r="AF340">
        <v>0</v>
      </c>
      <c r="AI340">
        <v>0</v>
      </c>
      <c r="AJ340">
        <v>1</v>
      </c>
      <c r="AK340">
        <v>0</v>
      </c>
      <c r="AL340">
        <v>0</v>
      </c>
      <c r="AO340" t="s">
        <v>1425</v>
      </c>
      <c r="AP340">
        <v>0</v>
      </c>
      <c r="AV340">
        <v>0</v>
      </c>
      <c r="AW340" t="s">
        <v>49</v>
      </c>
    </row>
    <row r="341" spans="1:49">
      <c r="A341" s="1">
        <f>HYPERLINK("https://cms.ls-nyc.org/matter/dynamic-profile/view/1887576","19-1887576")</f>
        <v>0</v>
      </c>
      <c r="B341" t="s">
        <v>59</v>
      </c>
      <c r="C341" t="s">
        <v>83</v>
      </c>
      <c r="D341" t="s">
        <v>136</v>
      </c>
      <c r="F341" t="s">
        <v>604</v>
      </c>
      <c r="G341" t="s">
        <v>1671</v>
      </c>
      <c r="H341" t="s">
        <v>2814</v>
      </c>
      <c r="I341" t="s">
        <v>3978</v>
      </c>
      <c r="J341" t="s">
        <v>4237</v>
      </c>
      <c r="K341">
        <v>11356</v>
      </c>
      <c r="L341" t="s">
        <v>4275</v>
      </c>
      <c r="M341" t="s">
        <v>4275</v>
      </c>
      <c r="O341" t="s">
        <v>4282</v>
      </c>
      <c r="P341" t="s">
        <v>4616</v>
      </c>
      <c r="Q341" t="s">
        <v>5732</v>
      </c>
      <c r="R341" t="s">
        <v>5753</v>
      </c>
      <c r="T341" t="s">
        <v>4276</v>
      </c>
      <c r="V341" t="s">
        <v>5767</v>
      </c>
      <c r="W341" t="s">
        <v>5772</v>
      </c>
      <c r="X341" t="s">
        <v>136</v>
      </c>
      <c r="Y341">
        <v>2000</v>
      </c>
      <c r="Z341" t="s">
        <v>5803</v>
      </c>
      <c r="AA341" t="s">
        <v>5804</v>
      </c>
      <c r="AC341" t="s">
        <v>6156</v>
      </c>
      <c r="AD341" t="s">
        <v>7432</v>
      </c>
      <c r="AE341" t="s">
        <v>8165</v>
      </c>
      <c r="AF341">
        <v>0</v>
      </c>
      <c r="AG341" t="s">
        <v>9270</v>
      </c>
      <c r="AH341" t="s">
        <v>4280</v>
      </c>
      <c r="AI341">
        <v>4</v>
      </c>
      <c r="AJ341">
        <v>1</v>
      </c>
      <c r="AK341">
        <v>3</v>
      </c>
      <c r="AL341">
        <v>0</v>
      </c>
      <c r="AO341" t="s">
        <v>1425</v>
      </c>
      <c r="AP341">
        <v>0</v>
      </c>
      <c r="AV341">
        <v>0.6</v>
      </c>
      <c r="AW341" t="s">
        <v>54</v>
      </c>
    </row>
    <row r="342" spans="1:49">
      <c r="A342" s="1">
        <f>HYPERLINK("https://cms.ls-nyc.org/matter/dynamic-profile/view/1876644","18-1876644")</f>
        <v>0</v>
      </c>
      <c r="B342" t="s">
        <v>59</v>
      </c>
      <c r="C342" t="s">
        <v>82</v>
      </c>
      <c r="D342" t="s">
        <v>178</v>
      </c>
      <c r="E342" t="s">
        <v>189</v>
      </c>
      <c r="F342" t="s">
        <v>605</v>
      </c>
      <c r="G342" t="s">
        <v>1672</v>
      </c>
      <c r="H342" t="s">
        <v>2815</v>
      </c>
      <c r="I342" t="s">
        <v>3979</v>
      </c>
      <c r="J342" t="s">
        <v>4229</v>
      </c>
      <c r="K342">
        <v>11355</v>
      </c>
      <c r="L342" t="s">
        <v>4275</v>
      </c>
      <c r="M342" t="s">
        <v>4275</v>
      </c>
      <c r="O342" t="s">
        <v>4282</v>
      </c>
      <c r="P342" t="s">
        <v>4617</v>
      </c>
      <c r="Q342" t="s">
        <v>5732</v>
      </c>
      <c r="R342" t="s">
        <v>5753</v>
      </c>
      <c r="S342" t="s">
        <v>5759</v>
      </c>
      <c r="T342" t="s">
        <v>4276</v>
      </c>
      <c r="V342" t="s">
        <v>5767</v>
      </c>
      <c r="W342" t="s">
        <v>5772</v>
      </c>
      <c r="X342" t="s">
        <v>178</v>
      </c>
      <c r="Y342">
        <v>0</v>
      </c>
      <c r="Z342" t="s">
        <v>5803</v>
      </c>
      <c r="AA342" t="s">
        <v>5804</v>
      </c>
      <c r="AB342" t="s">
        <v>5821</v>
      </c>
      <c r="AC342" t="s">
        <v>6157</v>
      </c>
      <c r="AD342" t="s">
        <v>4700</v>
      </c>
      <c r="AE342" t="s">
        <v>7289</v>
      </c>
      <c r="AF342">
        <v>90</v>
      </c>
      <c r="AG342" t="s">
        <v>9270</v>
      </c>
      <c r="AH342" t="s">
        <v>4280</v>
      </c>
      <c r="AI342">
        <v>1</v>
      </c>
      <c r="AJ342">
        <v>1</v>
      </c>
      <c r="AK342">
        <v>0</v>
      </c>
      <c r="AL342">
        <v>0</v>
      </c>
      <c r="AO342" t="s">
        <v>1425</v>
      </c>
      <c r="AP342">
        <v>0</v>
      </c>
      <c r="AV342">
        <v>1</v>
      </c>
      <c r="AW342" t="s">
        <v>54</v>
      </c>
    </row>
    <row r="343" spans="1:49">
      <c r="A343" s="1">
        <f>HYPERLINK("https://cms.ls-nyc.org/matter/dynamic-profile/view/1893115","19-1893115")</f>
        <v>0</v>
      </c>
      <c r="B343" t="s">
        <v>59</v>
      </c>
      <c r="C343" t="s">
        <v>82</v>
      </c>
      <c r="D343" t="s">
        <v>214</v>
      </c>
      <c r="E343" t="s">
        <v>299</v>
      </c>
      <c r="F343" t="s">
        <v>606</v>
      </c>
      <c r="G343" t="s">
        <v>1673</v>
      </c>
      <c r="H343" t="s">
        <v>2816</v>
      </c>
      <c r="I343" t="s">
        <v>3980</v>
      </c>
      <c r="J343" t="s">
        <v>4232</v>
      </c>
      <c r="K343">
        <v>11104</v>
      </c>
      <c r="L343" t="s">
        <v>4275</v>
      </c>
      <c r="M343" t="s">
        <v>4275</v>
      </c>
      <c r="N343" t="s">
        <v>4278</v>
      </c>
      <c r="O343" t="s">
        <v>4282</v>
      </c>
      <c r="P343" t="s">
        <v>4618</v>
      </c>
      <c r="Q343" t="s">
        <v>5731</v>
      </c>
      <c r="R343" t="s">
        <v>5753</v>
      </c>
      <c r="S343" t="s">
        <v>5759</v>
      </c>
      <c r="T343" t="s">
        <v>4276</v>
      </c>
      <c r="V343" t="s">
        <v>5767</v>
      </c>
      <c r="W343" t="s">
        <v>5771</v>
      </c>
      <c r="X343" t="s">
        <v>114</v>
      </c>
      <c r="Y343">
        <v>1625</v>
      </c>
      <c r="Z343" t="s">
        <v>5803</v>
      </c>
      <c r="AA343" t="s">
        <v>5804</v>
      </c>
      <c r="AB343" t="s">
        <v>5821</v>
      </c>
      <c r="AC343" t="s">
        <v>6158</v>
      </c>
      <c r="AF343">
        <v>55</v>
      </c>
      <c r="AG343" t="s">
        <v>9270</v>
      </c>
      <c r="AH343" t="s">
        <v>4280</v>
      </c>
      <c r="AI343">
        <v>8</v>
      </c>
      <c r="AJ343">
        <v>1</v>
      </c>
      <c r="AK343">
        <v>0</v>
      </c>
      <c r="AL343">
        <v>0</v>
      </c>
      <c r="AO343" t="s">
        <v>1425</v>
      </c>
      <c r="AP343">
        <v>0</v>
      </c>
      <c r="AV343">
        <v>0.5</v>
      </c>
      <c r="AW343" t="s">
        <v>9547</v>
      </c>
    </row>
    <row r="344" spans="1:49">
      <c r="A344" s="1">
        <f>HYPERLINK("https://cms.ls-nyc.org/matter/dynamic-profile/view/1875748","18-1875748")</f>
        <v>0</v>
      </c>
      <c r="B344" t="s">
        <v>59</v>
      </c>
      <c r="C344" t="s">
        <v>82</v>
      </c>
      <c r="D344" t="s">
        <v>151</v>
      </c>
      <c r="E344" t="s">
        <v>178</v>
      </c>
      <c r="F344" t="s">
        <v>607</v>
      </c>
      <c r="G344" t="s">
        <v>1385</v>
      </c>
      <c r="H344" t="s">
        <v>2817</v>
      </c>
      <c r="J344" t="s">
        <v>4234</v>
      </c>
      <c r="K344">
        <v>11102</v>
      </c>
      <c r="L344" t="s">
        <v>4275</v>
      </c>
      <c r="M344" t="s">
        <v>4275</v>
      </c>
      <c r="O344" t="s">
        <v>4282</v>
      </c>
      <c r="P344" t="s">
        <v>4619</v>
      </c>
      <c r="Q344" t="s">
        <v>5732</v>
      </c>
      <c r="R344" t="s">
        <v>5753</v>
      </c>
      <c r="S344" t="s">
        <v>5759</v>
      </c>
      <c r="T344" t="s">
        <v>4276</v>
      </c>
      <c r="V344" t="s">
        <v>5767</v>
      </c>
      <c r="W344" t="s">
        <v>5772</v>
      </c>
      <c r="X344" t="s">
        <v>151</v>
      </c>
      <c r="Y344">
        <v>600</v>
      </c>
      <c r="Z344" t="s">
        <v>5803</v>
      </c>
      <c r="AA344" t="s">
        <v>5804</v>
      </c>
      <c r="AB344" t="s">
        <v>5821</v>
      </c>
      <c r="AC344" t="s">
        <v>5881</v>
      </c>
      <c r="AD344" t="s">
        <v>7433</v>
      </c>
      <c r="AE344" t="s">
        <v>8166</v>
      </c>
      <c r="AF344">
        <v>6</v>
      </c>
      <c r="AH344" t="s">
        <v>4280</v>
      </c>
      <c r="AI344">
        <v>33</v>
      </c>
      <c r="AJ344">
        <v>2</v>
      </c>
      <c r="AK344">
        <v>0</v>
      </c>
      <c r="AL344">
        <v>0</v>
      </c>
      <c r="AO344" t="s">
        <v>1425</v>
      </c>
      <c r="AP344">
        <v>0</v>
      </c>
      <c r="AV344">
        <v>1</v>
      </c>
      <c r="AW344" t="s">
        <v>54</v>
      </c>
    </row>
    <row r="345" spans="1:49">
      <c r="A345" s="1">
        <f>HYPERLINK("https://cms.ls-nyc.org/matter/dynamic-profile/view/1896704","19-1896704")</f>
        <v>0</v>
      </c>
      <c r="B345" t="s">
        <v>59</v>
      </c>
      <c r="C345" t="s">
        <v>83</v>
      </c>
      <c r="D345" t="s">
        <v>117</v>
      </c>
      <c r="F345" t="s">
        <v>608</v>
      </c>
      <c r="G345" t="s">
        <v>1674</v>
      </c>
      <c r="H345" t="s">
        <v>2818</v>
      </c>
      <c r="I345" t="s">
        <v>3981</v>
      </c>
      <c r="J345" t="s">
        <v>4249</v>
      </c>
      <c r="K345">
        <v>11429</v>
      </c>
      <c r="L345" t="s">
        <v>4275</v>
      </c>
      <c r="M345" t="s">
        <v>4275</v>
      </c>
      <c r="O345" t="s">
        <v>4282</v>
      </c>
      <c r="P345" t="s">
        <v>4620</v>
      </c>
      <c r="Q345" t="s">
        <v>5733</v>
      </c>
      <c r="R345" t="s">
        <v>5754</v>
      </c>
      <c r="T345" t="s">
        <v>4275</v>
      </c>
      <c r="V345" t="s">
        <v>5767</v>
      </c>
      <c r="X345" t="s">
        <v>117</v>
      </c>
      <c r="Y345">
        <v>1700</v>
      </c>
      <c r="Z345" t="s">
        <v>5803</v>
      </c>
      <c r="AC345" t="s">
        <v>6159</v>
      </c>
      <c r="AE345" t="s">
        <v>8167</v>
      </c>
      <c r="AF345">
        <v>4</v>
      </c>
      <c r="AI345">
        <v>3</v>
      </c>
      <c r="AJ345">
        <v>1</v>
      </c>
      <c r="AK345">
        <v>1</v>
      </c>
      <c r="AL345">
        <v>3.55</v>
      </c>
      <c r="AO345" t="s">
        <v>9298</v>
      </c>
      <c r="AP345">
        <v>600</v>
      </c>
      <c r="AV345">
        <v>19.1</v>
      </c>
      <c r="AW345" t="s">
        <v>9547</v>
      </c>
    </row>
    <row r="346" spans="1:49">
      <c r="A346" s="1">
        <f>HYPERLINK("https://cms.ls-nyc.org/matter/dynamic-profile/view/1876709","18-1876709")</f>
        <v>0</v>
      </c>
      <c r="B346" t="s">
        <v>59</v>
      </c>
      <c r="C346" t="s">
        <v>83</v>
      </c>
      <c r="D346" t="s">
        <v>178</v>
      </c>
      <c r="F346" t="s">
        <v>609</v>
      </c>
      <c r="G346" t="s">
        <v>1675</v>
      </c>
      <c r="H346" t="s">
        <v>2819</v>
      </c>
      <c r="I346" t="s">
        <v>3871</v>
      </c>
      <c r="J346" t="s">
        <v>4234</v>
      </c>
      <c r="K346">
        <v>11106</v>
      </c>
      <c r="L346" t="s">
        <v>4275</v>
      </c>
      <c r="M346" t="s">
        <v>4275</v>
      </c>
      <c r="N346" t="s">
        <v>4278</v>
      </c>
      <c r="O346" t="s">
        <v>4282</v>
      </c>
      <c r="P346" t="s">
        <v>4621</v>
      </c>
      <c r="Q346" t="s">
        <v>5731</v>
      </c>
      <c r="R346" t="s">
        <v>5751</v>
      </c>
      <c r="T346" t="s">
        <v>4276</v>
      </c>
      <c r="V346" t="s">
        <v>5767</v>
      </c>
      <c r="W346" t="s">
        <v>5771</v>
      </c>
      <c r="X346" t="s">
        <v>311</v>
      </c>
      <c r="Y346">
        <v>950</v>
      </c>
      <c r="Z346" t="s">
        <v>5803</v>
      </c>
      <c r="AA346" t="s">
        <v>5804</v>
      </c>
      <c r="AC346" t="s">
        <v>6160</v>
      </c>
      <c r="AD346" t="s">
        <v>7434</v>
      </c>
      <c r="AE346" t="s">
        <v>8168</v>
      </c>
      <c r="AF346">
        <v>8</v>
      </c>
      <c r="AG346" t="s">
        <v>9272</v>
      </c>
      <c r="AH346" t="s">
        <v>4280</v>
      </c>
      <c r="AI346">
        <v>1</v>
      </c>
      <c r="AJ346">
        <v>1</v>
      </c>
      <c r="AK346">
        <v>1</v>
      </c>
      <c r="AL346">
        <v>18.23</v>
      </c>
      <c r="AO346" t="s">
        <v>1425</v>
      </c>
      <c r="AP346">
        <v>3000</v>
      </c>
      <c r="AR346" t="s">
        <v>9333</v>
      </c>
      <c r="AS346" t="s">
        <v>9350</v>
      </c>
      <c r="AT346" t="s">
        <v>9369</v>
      </c>
      <c r="AU346" t="s">
        <v>9383</v>
      </c>
      <c r="AV346">
        <v>88.59999999999999</v>
      </c>
      <c r="AW346" t="s">
        <v>54</v>
      </c>
    </row>
    <row r="347" spans="1:49">
      <c r="A347" s="1">
        <f>HYPERLINK("https://cms.ls-nyc.org/matter/dynamic-profile/view/1871552","18-1871552")</f>
        <v>0</v>
      </c>
      <c r="B347" t="s">
        <v>59</v>
      </c>
      <c r="C347" t="s">
        <v>82</v>
      </c>
      <c r="D347" t="s">
        <v>102</v>
      </c>
      <c r="E347" t="s">
        <v>187</v>
      </c>
      <c r="F347" t="s">
        <v>610</v>
      </c>
      <c r="G347" t="s">
        <v>1676</v>
      </c>
      <c r="H347" t="s">
        <v>2820</v>
      </c>
      <c r="I347" t="s">
        <v>3982</v>
      </c>
      <c r="J347" t="s">
        <v>4243</v>
      </c>
      <c r="K347">
        <v>11691</v>
      </c>
      <c r="L347" t="s">
        <v>4275</v>
      </c>
      <c r="M347" t="s">
        <v>4275</v>
      </c>
      <c r="O347" t="s">
        <v>4283</v>
      </c>
      <c r="P347" t="s">
        <v>4622</v>
      </c>
      <c r="Q347" t="s">
        <v>5731</v>
      </c>
      <c r="R347" t="s">
        <v>5753</v>
      </c>
      <c r="S347" t="s">
        <v>5759</v>
      </c>
      <c r="T347" t="s">
        <v>4276</v>
      </c>
      <c r="V347" t="s">
        <v>5767</v>
      </c>
      <c r="W347" t="s">
        <v>5771</v>
      </c>
      <c r="X347" t="s">
        <v>102</v>
      </c>
      <c r="Y347">
        <v>974</v>
      </c>
      <c r="Z347" t="s">
        <v>5803</v>
      </c>
      <c r="AA347" t="s">
        <v>5804</v>
      </c>
      <c r="AB347" t="s">
        <v>5821</v>
      </c>
      <c r="AC347" t="s">
        <v>6161</v>
      </c>
      <c r="AD347" t="s">
        <v>7435</v>
      </c>
      <c r="AE347" t="s">
        <v>8169</v>
      </c>
      <c r="AF347">
        <v>270</v>
      </c>
      <c r="AG347" t="s">
        <v>9279</v>
      </c>
      <c r="AH347" t="s">
        <v>9282</v>
      </c>
      <c r="AI347">
        <v>4</v>
      </c>
      <c r="AJ347">
        <v>1</v>
      </c>
      <c r="AK347">
        <v>0</v>
      </c>
      <c r="AL347">
        <v>27.2</v>
      </c>
      <c r="AN347" t="s">
        <v>9294</v>
      </c>
      <c r="AO347" t="s">
        <v>9303</v>
      </c>
      <c r="AP347">
        <v>3302.4</v>
      </c>
      <c r="AV347">
        <v>2.3</v>
      </c>
      <c r="AW347" t="s">
        <v>54</v>
      </c>
    </row>
    <row r="348" spans="1:49">
      <c r="A348" s="1">
        <f>HYPERLINK("https://cms.ls-nyc.org/matter/dynamic-profile/view/1896696","19-1896696")</f>
        <v>0</v>
      </c>
      <c r="B348" t="s">
        <v>59</v>
      </c>
      <c r="C348" t="s">
        <v>82</v>
      </c>
      <c r="D348" t="s">
        <v>117</v>
      </c>
      <c r="E348" t="s">
        <v>216</v>
      </c>
      <c r="F348" t="s">
        <v>611</v>
      </c>
      <c r="G348" t="s">
        <v>1677</v>
      </c>
      <c r="H348" t="s">
        <v>2821</v>
      </c>
      <c r="I348">
        <v>1</v>
      </c>
      <c r="J348" t="s">
        <v>4249</v>
      </c>
      <c r="K348">
        <v>11429</v>
      </c>
      <c r="L348" t="s">
        <v>4275</v>
      </c>
      <c r="M348" t="s">
        <v>4275</v>
      </c>
      <c r="N348" t="s">
        <v>4278</v>
      </c>
      <c r="O348" t="s">
        <v>4282</v>
      </c>
      <c r="P348" t="s">
        <v>4623</v>
      </c>
      <c r="Q348" t="s">
        <v>5732</v>
      </c>
      <c r="R348" t="s">
        <v>5751</v>
      </c>
      <c r="S348" t="s">
        <v>5758</v>
      </c>
      <c r="T348" t="s">
        <v>4276</v>
      </c>
      <c r="V348" t="s">
        <v>5767</v>
      </c>
      <c r="W348" t="s">
        <v>5772</v>
      </c>
      <c r="X348" t="s">
        <v>117</v>
      </c>
      <c r="Y348">
        <v>2300</v>
      </c>
      <c r="Z348" t="s">
        <v>5803</v>
      </c>
      <c r="AA348" t="s">
        <v>5804</v>
      </c>
      <c r="AB348" t="s">
        <v>5820</v>
      </c>
      <c r="AC348" t="s">
        <v>6162</v>
      </c>
      <c r="AD348" t="s">
        <v>7436</v>
      </c>
      <c r="AE348" t="s">
        <v>8170</v>
      </c>
      <c r="AF348">
        <v>2</v>
      </c>
      <c r="AG348" t="s">
        <v>9269</v>
      </c>
      <c r="AH348" t="s">
        <v>9282</v>
      </c>
      <c r="AI348">
        <v>1</v>
      </c>
      <c r="AJ348">
        <v>3</v>
      </c>
      <c r="AK348">
        <v>4</v>
      </c>
      <c r="AL348">
        <v>27.56</v>
      </c>
      <c r="AO348" t="s">
        <v>1425</v>
      </c>
      <c r="AP348">
        <v>10752</v>
      </c>
      <c r="AR348" t="s">
        <v>9328</v>
      </c>
      <c r="AS348" t="s">
        <v>9337</v>
      </c>
      <c r="AT348" t="s">
        <v>9369</v>
      </c>
      <c r="AU348" t="s">
        <v>9450</v>
      </c>
      <c r="AV348">
        <v>11</v>
      </c>
      <c r="AW348" t="s">
        <v>9547</v>
      </c>
    </row>
    <row r="349" spans="1:49">
      <c r="A349" s="1">
        <f>HYPERLINK("https://cms.ls-nyc.org/matter/dynamic-profile/view/1878292","18-1878292")</f>
        <v>0</v>
      </c>
      <c r="B349" t="s">
        <v>59</v>
      </c>
      <c r="C349" t="s">
        <v>82</v>
      </c>
      <c r="D349" t="s">
        <v>137</v>
      </c>
      <c r="E349" t="s">
        <v>168</v>
      </c>
      <c r="F349" t="s">
        <v>612</v>
      </c>
      <c r="G349" t="s">
        <v>1678</v>
      </c>
      <c r="H349" t="s">
        <v>2733</v>
      </c>
      <c r="J349" t="s">
        <v>4222</v>
      </c>
      <c r="K349">
        <v>11433</v>
      </c>
      <c r="L349" t="s">
        <v>4275</v>
      </c>
      <c r="M349" t="s">
        <v>4275</v>
      </c>
      <c r="O349" t="s">
        <v>4281</v>
      </c>
      <c r="P349" t="s">
        <v>4624</v>
      </c>
      <c r="Q349" t="s">
        <v>5732</v>
      </c>
      <c r="R349" t="s">
        <v>5751</v>
      </c>
      <c r="S349" t="s">
        <v>5758</v>
      </c>
      <c r="T349" t="s">
        <v>4276</v>
      </c>
      <c r="V349" t="s">
        <v>5767</v>
      </c>
      <c r="W349" t="s">
        <v>5772</v>
      </c>
      <c r="X349" t="s">
        <v>188</v>
      </c>
      <c r="Y349">
        <v>0</v>
      </c>
      <c r="Z349" t="s">
        <v>5803</v>
      </c>
      <c r="AA349" t="s">
        <v>5805</v>
      </c>
      <c r="AB349" t="s">
        <v>5820</v>
      </c>
      <c r="AC349" t="s">
        <v>6163</v>
      </c>
      <c r="AD349" t="s">
        <v>4700</v>
      </c>
      <c r="AE349" t="s">
        <v>7289</v>
      </c>
      <c r="AF349">
        <v>2</v>
      </c>
      <c r="AG349" t="s">
        <v>9269</v>
      </c>
      <c r="AH349" t="s">
        <v>4280</v>
      </c>
      <c r="AI349">
        <v>1</v>
      </c>
      <c r="AJ349">
        <v>2</v>
      </c>
      <c r="AK349">
        <v>2</v>
      </c>
      <c r="AL349">
        <v>31.87</v>
      </c>
      <c r="AO349" t="s">
        <v>1425</v>
      </c>
      <c r="AP349">
        <v>8000</v>
      </c>
      <c r="AR349" t="s">
        <v>9327</v>
      </c>
      <c r="AS349" t="s">
        <v>9351</v>
      </c>
      <c r="AT349" t="s">
        <v>9370</v>
      </c>
      <c r="AU349" t="s">
        <v>9451</v>
      </c>
      <c r="AV349">
        <v>7.1</v>
      </c>
      <c r="AW349" t="s">
        <v>73</v>
      </c>
    </row>
    <row r="350" spans="1:49">
      <c r="A350" s="1">
        <f>HYPERLINK("https://cms.ls-nyc.org/matter/dynamic-profile/view/1878798","18-1878798")</f>
        <v>0</v>
      </c>
      <c r="B350" t="s">
        <v>59</v>
      </c>
      <c r="C350" t="s">
        <v>82</v>
      </c>
      <c r="D350" t="s">
        <v>215</v>
      </c>
      <c r="E350" t="s">
        <v>265</v>
      </c>
      <c r="F350" t="s">
        <v>613</v>
      </c>
      <c r="G350" t="s">
        <v>1679</v>
      </c>
      <c r="H350" t="s">
        <v>2822</v>
      </c>
      <c r="I350" t="s">
        <v>3846</v>
      </c>
      <c r="J350" t="s">
        <v>4243</v>
      </c>
      <c r="K350">
        <v>11691</v>
      </c>
      <c r="L350" t="s">
        <v>4275</v>
      </c>
      <c r="M350" t="s">
        <v>4275</v>
      </c>
      <c r="O350" t="s">
        <v>4283</v>
      </c>
      <c r="P350" t="s">
        <v>4625</v>
      </c>
      <c r="Q350" t="s">
        <v>5731</v>
      </c>
      <c r="R350" t="s">
        <v>5753</v>
      </c>
      <c r="S350" t="s">
        <v>5759</v>
      </c>
      <c r="T350" t="s">
        <v>4276</v>
      </c>
      <c r="V350" t="s">
        <v>5767</v>
      </c>
      <c r="W350" t="s">
        <v>5772</v>
      </c>
      <c r="X350" t="s">
        <v>215</v>
      </c>
      <c r="Y350">
        <v>1268</v>
      </c>
      <c r="Z350" t="s">
        <v>5803</v>
      </c>
      <c r="AA350" t="s">
        <v>5804</v>
      </c>
      <c r="AB350" t="s">
        <v>5821</v>
      </c>
      <c r="AC350" t="s">
        <v>6164</v>
      </c>
      <c r="AD350" t="s">
        <v>7437</v>
      </c>
      <c r="AE350" t="s">
        <v>8171</v>
      </c>
      <c r="AF350">
        <v>24</v>
      </c>
      <c r="AG350" t="s">
        <v>9270</v>
      </c>
      <c r="AH350" t="s">
        <v>9286</v>
      </c>
      <c r="AI350">
        <v>3</v>
      </c>
      <c r="AJ350">
        <v>1</v>
      </c>
      <c r="AK350">
        <v>3</v>
      </c>
      <c r="AL350">
        <v>34.9</v>
      </c>
      <c r="AO350" t="s">
        <v>1425</v>
      </c>
      <c r="AP350">
        <v>8760</v>
      </c>
      <c r="AV350">
        <v>1.5</v>
      </c>
      <c r="AW350" t="s">
        <v>54</v>
      </c>
    </row>
    <row r="351" spans="1:49">
      <c r="A351" s="1">
        <f>HYPERLINK("https://cms.ls-nyc.org/matter/dynamic-profile/view/1888654","19-1888654")</f>
        <v>0</v>
      </c>
      <c r="B351" t="s">
        <v>59</v>
      </c>
      <c r="C351" t="s">
        <v>83</v>
      </c>
      <c r="D351" t="s">
        <v>125</v>
      </c>
      <c r="F351" t="s">
        <v>614</v>
      </c>
      <c r="G351" t="s">
        <v>1680</v>
      </c>
      <c r="H351" t="s">
        <v>2823</v>
      </c>
      <c r="I351" t="s">
        <v>3983</v>
      </c>
      <c r="J351" t="s">
        <v>4240</v>
      </c>
      <c r="K351">
        <v>11373</v>
      </c>
      <c r="L351" t="s">
        <v>4275</v>
      </c>
      <c r="M351" t="s">
        <v>4275</v>
      </c>
      <c r="O351" t="s">
        <v>4281</v>
      </c>
      <c r="P351" t="s">
        <v>4626</v>
      </c>
      <c r="Q351" t="s">
        <v>5731</v>
      </c>
      <c r="R351" t="s">
        <v>5751</v>
      </c>
      <c r="T351" t="s">
        <v>4276</v>
      </c>
      <c r="V351" t="s">
        <v>5767</v>
      </c>
      <c r="W351" t="s">
        <v>5772</v>
      </c>
      <c r="X351" t="s">
        <v>125</v>
      </c>
      <c r="Y351">
        <v>1537.94</v>
      </c>
      <c r="Z351" t="s">
        <v>5803</v>
      </c>
      <c r="AA351" t="s">
        <v>5805</v>
      </c>
      <c r="AC351" t="s">
        <v>6165</v>
      </c>
      <c r="AE351" t="s">
        <v>8172</v>
      </c>
      <c r="AF351">
        <v>357</v>
      </c>
      <c r="AG351" t="s">
        <v>9272</v>
      </c>
      <c r="AH351" t="s">
        <v>4280</v>
      </c>
      <c r="AI351">
        <v>20</v>
      </c>
      <c r="AJ351">
        <v>1</v>
      </c>
      <c r="AK351">
        <v>3</v>
      </c>
      <c r="AL351">
        <v>34.95</v>
      </c>
      <c r="AO351" t="s">
        <v>1425</v>
      </c>
      <c r="AP351">
        <v>9000</v>
      </c>
      <c r="AR351" t="s">
        <v>9327</v>
      </c>
      <c r="AS351" t="s">
        <v>9341</v>
      </c>
      <c r="AT351" t="s">
        <v>9369</v>
      </c>
      <c r="AU351" t="s">
        <v>9452</v>
      </c>
      <c r="AV351">
        <v>6.37</v>
      </c>
      <c r="AW351" t="s">
        <v>54</v>
      </c>
    </row>
    <row r="352" spans="1:49">
      <c r="A352" s="1">
        <f>HYPERLINK("https://cms.ls-nyc.org/matter/dynamic-profile/view/1876798","18-1876798")</f>
        <v>0</v>
      </c>
      <c r="B352" t="s">
        <v>59</v>
      </c>
      <c r="C352" t="s">
        <v>82</v>
      </c>
      <c r="D352" t="s">
        <v>120</v>
      </c>
      <c r="E352" t="s">
        <v>95</v>
      </c>
      <c r="F352" t="s">
        <v>615</v>
      </c>
      <c r="G352" t="s">
        <v>1681</v>
      </c>
      <c r="H352" t="s">
        <v>2824</v>
      </c>
      <c r="I352" t="s">
        <v>3950</v>
      </c>
      <c r="J352" t="s">
        <v>4258</v>
      </c>
      <c r="K352">
        <v>11370</v>
      </c>
      <c r="L352" t="s">
        <v>4275</v>
      </c>
      <c r="M352" t="s">
        <v>4275</v>
      </c>
      <c r="N352" t="s">
        <v>4278</v>
      </c>
      <c r="O352" t="s">
        <v>4282</v>
      </c>
      <c r="P352" t="s">
        <v>4627</v>
      </c>
      <c r="Q352" t="s">
        <v>5732</v>
      </c>
      <c r="R352" t="s">
        <v>5751</v>
      </c>
      <c r="S352" t="s">
        <v>5758</v>
      </c>
      <c r="T352" t="s">
        <v>4276</v>
      </c>
      <c r="V352" t="s">
        <v>5767</v>
      </c>
      <c r="W352" t="s">
        <v>5772</v>
      </c>
      <c r="X352" t="s">
        <v>238</v>
      </c>
      <c r="Y352">
        <v>1500</v>
      </c>
      <c r="Z352" t="s">
        <v>5803</v>
      </c>
      <c r="AA352" t="s">
        <v>5804</v>
      </c>
      <c r="AB352" t="s">
        <v>5822</v>
      </c>
      <c r="AC352" t="s">
        <v>6166</v>
      </c>
      <c r="AE352" t="s">
        <v>8173</v>
      </c>
      <c r="AF352">
        <v>2</v>
      </c>
      <c r="AG352" t="s">
        <v>9269</v>
      </c>
      <c r="AH352" t="s">
        <v>4280</v>
      </c>
      <c r="AI352">
        <v>9</v>
      </c>
      <c r="AJ352">
        <v>4</v>
      </c>
      <c r="AK352">
        <v>1</v>
      </c>
      <c r="AL352">
        <v>35.35</v>
      </c>
      <c r="AO352" t="s">
        <v>1425</v>
      </c>
      <c r="AP352">
        <v>10400</v>
      </c>
      <c r="AR352" t="s">
        <v>9333</v>
      </c>
      <c r="AS352" t="s">
        <v>9349</v>
      </c>
      <c r="AT352" t="s">
        <v>9370</v>
      </c>
      <c r="AU352" t="s">
        <v>9453</v>
      </c>
      <c r="AV352">
        <v>18.9</v>
      </c>
      <c r="AW352" t="s">
        <v>54</v>
      </c>
    </row>
    <row r="353" spans="1:49">
      <c r="A353" s="1">
        <f>HYPERLINK("https://cms.ls-nyc.org/matter/dynamic-profile/view/1875204","18-1875204")</f>
        <v>0</v>
      </c>
      <c r="B353" t="s">
        <v>59</v>
      </c>
      <c r="C353" t="s">
        <v>82</v>
      </c>
      <c r="D353" t="s">
        <v>177</v>
      </c>
      <c r="E353" t="s">
        <v>278</v>
      </c>
      <c r="F353" t="s">
        <v>616</v>
      </c>
      <c r="G353" t="s">
        <v>1682</v>
      </c>
      <c r="H353" t="s">
        <v>2825</v>
      </c>
      <c r="I353" t="s">
        <v>3984</v>
      </c>
      <c r="J353" t="s">
        <v>4245</v>
      </c>
      <c r="K353">
        <v>11418</v>
      </c>
      <c r="L353" t="s">
        <v>4275</v>
      </c>
      <c r="M353" t="s">
        <v>4275</v>
      </c>
      <c r="O353" t="s">
        <v>4282</v>
      </c>
      <c r="P353" t="s">
        <v>4628</v>
      </c>
      <c r="Q353" t="s">
        <v>5732</v>
      </c>
      <c r="R353" t="s">
        <v>5753</v>
      </c>
      <c r="S353" t="s">
        <v>5759</v>
      </c>
      <c r="T353" t="s">
        <v>4276</v>
      </c>
      <c r="V353" t="s">
        <v>5767</v>
      </c>
      <c r="W353" t="s">
        <v>5772</v>
      </c>
      <c r="X353" t="s">
        <v>177</v>
      </c>
      <c r="Y353">
        <v>1450</v>
      </c>
      <c r="Z353" t="s">
        <v>5803</v>
      </c>
      <c r="AA353" t="s">
        <v>5804</v>
      </c>
      <c r="AB353" t="s">
        <v>5821</v>
      </c>
      <c r="AC353" t="s">
        <v>6167</v>
      </c>
      <c r="AD353" t="s">
        <v>7438</v>
      </c>
      <c r="AE353" t="s">
        <v>8174</v>
      </c>
      <c r="AF353">
        <v>2</v>
      </c>
      <c r="AH353" t="s">
        <v>4280</v>
      </c>
      <c r="AI353">
        <v>10</v>
      </c>
      <c r="AJ353">
        <v>1</v>
      </c>
      <c r="AK353">
        <v>0</v>
      </c>
      <c r="AL353">
        <v>37.17</v>
      </c>
      <c r="AO353" t="s">
        <v>1425</v>
      </c>
      <c r="AP353">
        <v>4512</v>
      </c>
      <c r="AV353">
        <v>0.75</v>
      </c>
      <c r="AW353" t="s">
        <v>54</v>
      </c>
    </row>
    <row r="354" spans="1:49">
      <c r="A354" s="1">
        <f>HYPERLINK("https://cms.ls-nyc.org/matter/dynamic-profile/view/1874452","18-1874452")</f>
        <v>0</v>
      </c>
      <c r="B354" t="s">
        <v>59</v>
      </c>
      <c r="C354" t="s">
        <v>82</v>
      </c>
      <c r="D354" t="s">
        <v>212</v>
      </c>
      <c r="E354" t="s">
        <v>196</v>
      </c>
      <c r="F354" t="s">
        <v>617</v>
      </c>
      <c r="G354" t="s">
        <v>1683</v>
      </c>
      <c r="H354" t="s">
        <v>2826</v>
      </c>
      <c r="I354" t="s">
        <v>3985</v>
      </c>
      <c r="J354" t="s">
        <v>4244</v>
      </c>
      <c r="K354">
        <v>11413</v>
      </c>
      <c r="L354" t="s">
        <v>4275</v>
      </c>
      <c r="M354" t="s">
        <v>4275</v>
      </c>
      <c r="O354" t="s">
        <v>4282</v>
      </c>
      <c r="P354" t="s">
        <v>4629</v>
      </c>
      <c r="Q354" t="s">
        <v>5731</v>
      </c>
      <c r="R354" t="s">
        <v>5751</v>
      </c>
      <c r="S354" t="s">
        <v>5758</v>
      </c>
      <c r="T354" t="s">
        <v>4276</v>
      </c>
      <c r="V354" t="s">
        <v>5767</v>
      </c>
      <c r="W354" t="s">
        <v>5772</v>
      </c>
      <c r="X354" t="s">
        <v>212</v>
      </c>
      <c r="Y354">
        <v>1247</v>
      </c>
      <c r="Z354" t="s">
        <v>5803</v>
      </c>
      <c r="AA354" t="s">
        <v>5804</v>
      </c>
      <c r="AB354" t="s">
        <v>5820</v>
      </c>
      <c r="AC354" t="s">
        <v>6168</v>
      </c>
      <c r="AD354" t="s">
        <v>7439</v>
      </c>
      <c r="AE354" t="s">
        <v>8175</v>
      </c>
      <c r="AF354">
        <v>2</v>
      </c>
      <c r="AG354" t="s">
        <v>9269</v>
      </c>
      <c r="AH354" t="s">
        <v>4280</v>
      </c>
      <c r="AI354">
        <v>16</v>
      </c>
      <c r="AJ354">
        <v>2</v>
      </c>
      <c r="AK354">
        <v>3</v>
      </c>
      <c r="AL354">
        <v>37.91</v>
      </c>
      <c r="AO354" t="s">
        <v>1425</v>
      </c>
      <c r="AP354">
        <v>11154</v>
      </c>
      <c r="AR354" t="s">
        <v>9329</v>
      </c>
      <c r="AS354" t="s">
        <v>9337</v>
      </c>
      <c r="AT354" t="s">
        <v>9369</v>
      </c>
      <c r="AU354" t="s">
        <v>9402</v>
      </c>
      <c r="AV354">
        <v>23.6</v>
      </c>
      <c r="AW354" t="s">
        <v>73</v>
      </c>
    </row>
    <row r="355" spans="1:49">
      <c r="A355" s="1">
        <f>HYPERLINK("https://cms.ls-nyc.org/matter/dynamic-profile/view/1883385","18-1883385")</f>
        <v>0</v>
      </c>
      <c r="B355" t="s">
        <v>59</v>
      </c>
      <c r="C355" t="s">
        <v>83</v>
      </c>
      <c r="D355" t="s">
        <v>196</v>
      </c>
      <c r="F355" t="s">
        <v>618</v>
      </c>
      <c r="G355" t="s">
        <v>1684</v>
      </c>
      <c r="H355" t="s">
        <v>2827</v>
      </c>
      <c r="I355" t="s">
        <v>3921</v>
      </c>
      <c r="J355" t="s">
        <v>4222</v>
      </c>
      <c r="K355">
        <v>11434</v>
      </c>
      <c r="L355" t="s">
        <v>4275</v>
      </c>
      <c r="M355" t="s">
        <v>4275</v>
      </c>
      <c r="N355" t="s">
        <v>4278</v>
      </c>
      <c r="O355" t="s">
        <v>4282</v>
      </c>
      <c r="P355" t="s">
        <v>4630</v>
      </c>
      <c r="Q355" t="s">
        <v>5732</v>
      </c>
      <c r="R355" t="s">
        <v>5751</v>
      </c>
      <c r="T355" t="s">
        <v>4276</v>
      </c>
      <c r="V355" t="s">
        <v>5767</v>
      </c>
      <c r="W355" t="s">
        <v>5775</v>
      </c>
      <c r="X355" t="s">
        <v>5784</v>
      </c>
      <c r="Y355">
        <v>569</v>
      </c>
      <c r="Z355" t="s">
        <v>5803</v>
      </c>
      <c r="AA355" t="s">
        <v>5805</v>
      </c>
      <c r="AC355" t="s">
        <v>6169</v>
      </c>
      <c r="AE355" t="s">
        <v>8176</v>
      </c>
      <c r="AF355">
        <v>2</v>
      </c>
      <c r="AG355" t="s">
        <v>9269</v>
      </c>
      <c r="AH355" t="s">
        <v>9282</v>
      </c>
      <c r="AI355">
        <v>1</v>
      </c>
      <c r="AJ355">
        <v>2</v>
      </c>
      <c r="AK355">
        <v>1</v>
      </c>
      <c r="AL355">
        <v>45.04</v>
      </c>
      <c r="AO355" t="s">
        <v>1425</v>
      </c>
      <c r="AP355">
        <v>9360</v>
      </c>
      <c r="AR355" t="s">
        <v>9328</v>
      </c>
      <c r="AS355" t="s">
        <v>5806</v>
      </c>
      <c r="AT355" t="s">
        <v>9370</v>
      </c>
      <c r="AU355" t="s">
        <v>9418</v>
      </c>
      <c r="AV355">
        <v>0.1</v>
      </c>
      <c r="AW355" t="s">
        <v>54</v>
      </c>
    </row>
    <row r="356" spans="1:49">
      <c r="A356" s="1">
        <f>HYPERLINK("https://cms.ls-nyc.org/matter/dynamic-profile/view/1877535","18-1877535")</f>
        <v>0</v>
      </c>
      <c r="B356" t="s">
        <v>59</v>
      </c>
      <c r="C356" t="s">
        <v>82</v>
      </c>
      <c r="D356" t="s">
        <v>180</v>
      </c>
      <c r="E356" t="s">
        <v>189</v>
      </c>
      <c r="F356" t="s">
        <v>619</v>
      </c>
      <c r="G356" t="s">
        <v>1685</v>
      </c>
      <c r="H356" t="s">
        <v>2828</v>
      </c>
      <c r="I356" t="s">
        <v>3856</v>
      </c>
      <c r="J356" t="s">
        <v>4223</v>
      </c>
      <c r="K356">
        <v>11423</v>
      </c>
      <c r="L356" t="s">
        <v>4275</v>
      </c>
      <c r="M356" t="s">
        <v>4275</v>
      </c>
      <c r="O356" t="s">
        <v>4282</v>
      </c>
      <c r="P356" t="s">
        <v>4631</v>
      </c>
      <c r="Q356" t="s">
        <v>5732</v>
      </c>
      <c r="R356" t="s">
        <v>5751</v>
      </c>
      <c r="S356" t="s">
        <v>5758</v>
      </c>
      <c r="T356" t="s">
        <v>4276</v>
      </c>
      <c r="V356" t="s">
        <v>5767</v>
      </c>
      <c r="W356" t="s">
        <v>5772</v>
      </c>
      <c r="X356" t="s">
        <v>242</v>
      </c>
      <c r="Y356">
        <v>1435</v>
      </c>
      <c r="Z356" t="s">
        <v>5803</v>
      </c>
      <c r="AA356" t="s">
        <v>5804</v>
      </c>
      <c r="AB356" t="s">
        <v>5822</v>
      </c>
      <c r="AC356" t="s">
        <v>6170</v>
      </c>
      <c r="AD356" t="s">
        <v>7440</v>
      </c>
      <c r="AE356" t="s">
        <v>8177</v>
      </c>
      <c r="AF356">
        <v>2</v>
      </c>
      <c r="AG356" t="s">
        <v>9269</v>
      </c>
      <c r="AH356" t="s">
        <v>9282</v>
      </c>
      <c r="AI356">
        <v>3</v>
      </c>
      <c r="AJ356">
        <v>1</v>
      </c>
      <c r="AK356">
        <v>1</v>
      </c>
      <c r="AL356">
        <v>47.39</v>
      </c>
      <c r="AO356" t="s">
        <v>1425</v>
      </c>
      <c r="AP356">
        <v>7800</v>
      </c>
      <c r="AR356" t="s">
        <v>9326</v>
      </c>
      <c r="AS356" t="s">
        <v>5806</v>
      </c>
      <c r="AT356" t="s">
        <v>9370</v>
      </c>
      <c r="AU356" t="s">
        <v>9454</v>
      </c>
      <c r="AV356">
        <v>8.800000000000001</v>
      </c>
      <c r="AW356" t="s">
        <v>73</v>
      </c>
    </row>
    <row r="357" spans="1:49">
      <c r="A357" s="1">
        <f>HYPERLINK("https://cms.ls-nyc.org/matter/dynamic-profile/view/1900138","19-1900138")</f>
        <v>0</v>
      </c>
      <c r="B357" t="s">
        <v>59</v>
      </c>
      <c r="C357" t="s">
        <v>83</v>
      </c>
      <c r="D357" t="s">
        <v>216</v>
      </c>
      <c r="F357" t="s">
        <v>613</v>
      </c>
      <c r="G357" t="s">
        <v>1686</v>
      </c>
      <c r="H357" t="s">
        <v>2823</v>
      </c>
      <c r="I357" t="s">
        <v>3986</v>
      </c>
      <c r="J357" t="s">
        <v>4240</v>
      </c>
      <c r="K357">
        <v>11373</v>
      </c>
      <c r="L357" t="s">
        <v>4277</v>
      </c>
      <c r="M357" t="s">
        <v>4277</v>
      </c>
      <c r="O357" t="s">
        <v>4282</v>
      </c>
      <c r="V357" t="s">
        <v>5767</v>
      </c>
      <c r="Y357">
        <v>0</v>
      </c>
      <c r="Z357" t="s">
        <v>5803</v>
      </c>
      <c r="AC357" t="s">
        <v>6171</v>
      </c>
      <c r="AE357" t="s">
        <v>8178</v>
      </c>
      <c r="AF357">
        <v>0</v>
      </c>
      <c r="AI357">
        <v>0</v>
      </c>
      <c r="AJ357">
        <v>2</v>
      </c>
      <c r="AK357">
        <v>0</v>
      </c>
      <c r="AL357">
        <v>49.67</v>
      </c>
      <c r="AO357" t="s">
        <v>1425</v>
      </c>
      <c r="AP357">
        <v>8400</v>
      </c>
      <c r="AV357">
        <v>0.9</v>
      </c>
      <c r="AW357" t="s">
        <v>74</v>
      </c>
    </row>
    <row r="358" spans="1:49">
      <c r="A358" s="1">
        <f>HYPERLINK("https://cms.ls-nyc.org/matter/dynamic-profile/view/1891277","19-1891277")</f>
        <v>0</v>
      </c>
      <c r="B358" t="s">
        <v>59</v>
      </c>
      <c r="C358" t="s">
        <v>82</v>
      </c>
      <c r="D358" t="s">
        <v>167</v>
      </c>
      <c r="E358" t="s">
        <v>218</v>
      </c>
      <c r="F358" t="s">
        <v>620</v>
      </c>
      <c r="G358" t="s">
        <v>1687</v>
      </c>
      <c r="H358" t="s">
        <v>2829</v>
      </c>
      <c r="I358" t="s">
        <v>3852</v>
      </c>
      <c r="J358" t="s">
        <v>4234</v>
      </c>
      <c r="K358">
        <v>11106</v>
      </c>
      <c r="L358" t="s">
        <v>4275</v>
      </c>
      <c r="M358" t="s">
        <v>4275</v>
      </c>
      <c r="O358" t="s">
        <v>4282</v>
      </c>
      <c r="P358" t="s">
        <v>4632</v>
      </c>
      <c r="Q358" t="s">
        <v>5732</v>
      </c>
      <c r="R358" t="s">
        <v>5753</v>
      </c>
      <c r="S358" t="s">
        <v>5759</v>
      </c>
      <c r="T358" t="s">
        <v>4276</v>
      </c>
      <c r="V358" t="s">
        <v>5767</v>
      </c>
      <c r="W358" t="s">
        <v>5774</v>
      </c>
      <c r="X358" t="s">
        <v>167</v>
      </c>
      <c r="Y358">
        <v>1547</v>
      </c>
      <c r="Z358" t="s">
        <v>5803</v>
      </c>
      <c r="AA358" t="s">
        <v>5804</v>
      </c>
      <c r="AB358" t="s">
        <v>5821</v>
      </c>
      <c r="AC358" t="s">
        <v>6172</v>
      </c>
      <c r="AD358" t="s">
        <v>4700</v>
      </c>
      <c r="AE358" t="s">
        <v>7289</v>
      </c>
      <c r="AF358">
        <v>63</v>
      </c>
      <c r="AG358" t="s">
        <v>9272</v>
      </c>
      <c r="AH358" t="s">
        <v>4280</v>
      </c>
      <c r="AI358">
        <v>0</v>
      </c>
      <c r="AJ358">
        <v>3</v>
      </c>
      <c r="AK358">
        <v>0</v>
      </c>
      <c r="AL358">
        <v>53.63</v>
      </c>
      <c r="AO358" t="s">
        <v>1425</v>
      </c>
      <c r="AP358">
        <v>11440</v>
      </c>
      <c r="AV358">
        <v>1</v>
      </c>
      <c r="AW358" t="s">
        <v>59</v>
      </c>
    </row>
    <row r="359" spans="1:49">
      <c r="A359" s="1">
        <f>HYPERLINK("https://cms.ls-nyc.org/matter/dynamic-profile/view/1889624","19-1889624")</f>
        <v>0</v>
      </c>
      <c r="B359" t="s">
        <v>59</v>
      </c>
      <c r="C359" t="s">
        <v>83</v>
      </c>
      <c r="D359" t="s">
        <v>171</v>
      </c>
      <c r="F359" t="s">
        <v>473</v>
      </c>
      <c r="G359" t="s">
        <v>1688</v>
      </c>
      <c r="H359" t="s">
        <v>2830</v>
      </c>
      <c r="I359" t="s">
        <v>3863</v>
      </c>
      <c r="J359" t="s">
        <v>4227</v>
      </c>
      <c r="K359">
        <v>11365</v>
      </c>
      <c r="L359" t="s">
        <v>4275</v>
      </c>
      <c r="M359" t="s">
        <v>4275</v>
      </c>
      <c r="O359" t="s">
        <v>4282</v>
      </c>
      <c r="P359" t="s">
        <v>4633</v>
      </c>
      <c r="Q359" t="s">
        <v>5732</v>
      </c>
      <c r="R359" t="s">
        <v>5753</v>
      </c>
      <c r="T359" t="s">
        <v>4276</v>
      </c>
      <c r="V359" t="s">
        <v>5767</v>
      </c>
      <c r="W359" t="s">
        <v>5773</v>
      </c>
      <c r="X359" t="s">
        <v>171</v>
      </c>
      <c r="Y359">
        <v>223</v>
      </c>
      <c r="Z359" t="s">
        <v>5803</v>
      </c>
      <c r="AA359" t="s">
        <v>5804</v>
      </c>
      <c r="AC359" t="s">
        <v>6173</v>
      </c>
      <c r="AE359" t="s">
        <v>8179</v>
      </c>
      <c r="AF359">
        <v>84</v>
      </c>
      <c r="AG359" t="s">
        <v>9271</v>
      </c>
      <c r="AH359" t="s">
        <v>4280</v>
      </c>
      <c r="AI359">
        <v>4</v>
      </c>
      <c r="AJ359">
        <v>1</v>
      </c>
      <c r="AK359">
        <v>0</v>
      </c>
      <c r="AL359">
        <v>57.65</v>
      </c>
      <c r="AO359" t="s">
        <v>1425</v>
      </c>
      <c r="AP359">
        <v>7200</v>
      </c>
      <c r="AV359">
        <v>0.2</v>
      </c>
      <c r="AW359" t="s">
        <v>73</v>
      </c>
    </row>
    <row r="360" spans="1:49">
      <c r="A360" s="1">
        <f>HYPERLINK("https://cms.ls-nyc.org/matter/dynamic-profile/view/1875745","18-1875745")</f>
        <v>0</v>
      </c>
      <c r="B360" t="s">
        <v>59</v>
      </c>
      <c r="C360" t="s">
        <v>82</v>
      </c>
      <c r="D360" t="s">
        <v>151</v>
      </c>
      <c r="E360" t="s">
        <v>282</v>
      </c>
      <c r="F360" t="s">
        <v>621</v>
      </c>
      <c r="G360" t="s">
        <v>1683</v>
      </c>
      <c r="H360" t="s">
        <v>2656</v>
      </c>
      <c r="I360">
        <v>814</v>
      </c>
      <c r="J360" t="s">
        <v>4254</v>
      </c>
      <c r="K360">
        <v>11692</v>
      </c>
      <c r="L360" t="s">
        <v>4276</v>
      </c>
      <c r="M360" t="s">
        <v>4276</v>
      </c>
      <c r="O360" t="s">
        <v>4283</v>
      </c>
      <c r="P360" t="s">
        <v>4634</v>
      </c>
      <c r="Q360" t="s">
        <v>5731</v>
      </c>
      <c r="R360" t="s">
        <v>5753</v>
      </c>
      <c r="S360" t="s">
        <v>5759</v>
      </c>
      <c r="T360" t="s">
        <v>4276</v>
      </c>
      <c r="V360" t="s">
        <v>5767</v>
      </c>
      <c r="W360" t="s">
        <v>5772</v>
      </c>
      <c r="Y360">
        <v>1515</v>
      </c>
      <c r="Z360" t="s">
        <v>5803</v>
      </c>
      <c r="AA360" t="s">
        <v>5804</v>
      </c>
      <c r="AB360" t="s">
        <v>5821</v>
      </c>
      <c r="AC360" t="s">
        <v>6174</v>
      </c>
      <c r="AD360" t="s">
        <v>7441</v>
      </c>
      <c r="AE360" t="s">
        <v>8180</v>
      </c>
      <c r="AF360">
        <v>103</v>
      </c>
      <c r="AG360" t="s">
        <v>9278</v>
      </c>
      <c r="AH360" t="s">
        <v>9284</v>
      </c>
      <c r="AI360">
        <v>2</v>
      </c>
      <c r="AJ360">
        <v>1</v>
      </c>
      <c r="AK360">
        <v>4</v>
      </c>
      <c r="AL360">
        <v>57.78</v>
      </c>
      <c r="AO360" t="s">
        <v>1425</v>
      </c>
      <c r="AP360">
        <v>17000</v>
      </c>
      <c r="AV360">
        <v>0.6</v>
      </c>
      <c r="AW360" t="s">
        <v>54</v>
      </c>
    </row>
    <row r="361" spans="1:49">
      <c r="A361" s="1">
        <f>HYPERLINK("https://cms.ls-nyc.org/matter/dynamic-profile/view/1892676","19-1892676")</f>
        <v>0</v>
      </c>
      <c r="B361" t="s">
        <v>59</v>
      </c>
      <c r="C361" t="s">
        <v>83</v>
      </c>
      <c r="D361" t="s">
        <v>134</v>
      </c>
      <c r="F361" t="s">
        <v>571</v>
      </c>
      <c r="G361" t="s">
        <v>1689</v>
      </c>
      <c r="H361" t="s">
        <v>2831</v>
      </c>
      <c r="I361">
        <v>2</v>
      </c>
      <c r="J361" t="s">
        <v>4249</v>
      </c>
      <c r="K361">
        <v>11429</v>
      </c>
      <c r="L361" t="s">
        <v>4275</v>
      </c>
      <c r="M361" t="s">
        <v>4275</v>
      </c>
      <c r="O361" t="s">
        <v>4282</v>
      </c>
      <c r="P361" t="s">
        <v>4635</v>
      </c>
      <c r="Q361" t="s">
        <v>5731</v>
      </c>
      <c r="R361" t="s">
        <v>5752</v>
      </c>
      <c r="T361" t="s">
        <v>4276</v>
      </c>
      <c r="V361" t="s">
        <v>5767</v>
      </c>
      <c r="X361" t="s">
        <v>134</v>
      </c>
      <c r="Y361">
        <v>1950</v>
      </c>
      <c r="Z361" t="s">
        <v>5803</v>
      </c>
      <c r="AA361" t="s">
        <v>5804</v>
      </c>
      <c r="AC361" t="s">
        <v>6175</v>
      </c>
      <c r="AD361" t="s">
        <v>7442</v>
      </c>
      <c r="AE361" t="s">
        <v>8181</v>
      </c>
      <c r="AF361">
        <v>3</v>
      </c>
      <c r="AG361" t="s">
        <v>9270</v>
      </c>
      <c r="AH361" t="s">
        <v>9284</v>
      </c>
      <c r="AI361">
        <v>2</v>
      </c>
      <c r="AJ361">
        <v>2</v>
      </c>
      <c r="AK361">
        <v>3</v>
      </c>
      <c r="AL361">
        <v>59.66</v>
      </c>
      <c r="AO361" t="s">
        <v>1425</v>
      </c>
      <c r="AP361">
        <v>18000</v>
      </c>
      <c r="AV361">
        <v>0.8</v>
      </c>
      <c r="AW361" t="s">
        <v>54</v>
      </c>
    </row>
    <row r="362" spans="1:49">
      <c r="A362" s="1">
        <f>HYPERLINK("https://cms.ls-nyc.org/matter/dynamic-profile/view/1899877","19-1899877")</f>
        <v>0</v>
      </c>
      <c r="B362" t="s">
        <v>59</v>
      </c>
      <c r="C362" t="s">
        <v>83</v>
      </c>
      <c r="D362" t="s">
        <v>95</v>
      </c>
      <c r="F362" t="s">
        <v>622</v>
      </c>
      <c r="G362" t="s">
        <v>1690</v>
      </c>
      <c r="H362" t="s">
        <v>2832</v>
      </c>
      <c r="I362">
        <v>3</v>
      </c>
      <c r="J362" t="s">
        <v>4229</v>
      </c>
      <c r="K362">
        <v>11355</v>
      </c>
      <c r="L362" t="s">
        <v>4275</v>
      </c>
      <c r="M362" t="s">
        <v>4277</v>
      </c>
      <c r="N362" t="s">
        <v>4278</v>
      </c>
      <c r="O362" t="s">
        <v>4282</v>
      </c>
      <c r="P362" t="s">
        <v>4636</v>
      </c>
      <c r="Q362" t="s">
        <v>5732</v>
      </c>
      <c r="R362" t="s">
        <v>5754</v>
      </c>
      <c r="T362" t="s">
        <v>4276</v>
      </c>
      <c r="V362" t="s">
        <v>5767</v>
      </c>
      <c r="W362" t="s">
        <v>5772</v>
      </c>
      <c r="X362" t="s">
        <v>5784</v>
      </c>
      <c r="Y362">
        <v>2000</v>
      </c>
      <c r="Z362" t="s">
        <v>5803</v>
      </c>
      <c r="AA362" t="s">
        <v>5804</v>
      </c>
      <c r="AC362" t="s">
        <v>6176</v>
      </c>
      <c r="AE362" t="s">
        <v>8182</v>
      </c>
      <c r="AF362">
        <v>3</v>
      </c>
      <c r="AG362" t="s">
        <v>9269</v>
      </c>
      <c r="AH362" t="s">
        <v>4280</v>
      </c>
      <c r="AI362">
        <v>5</v>
      </c>
      <c r="AJ362">
        <v>3</v>
      </c>
      <c r="AK362">
        <v>2</v>
      </c>
      <c r="AL362">
        <v>60.32</v>
      </c>
      <c r="AO362" t="s">
        <v>9298</v>
      </c>
      <c r="AP362">
        <v>18200</v>
      </c>
      <c r="AV362">
        <v>3.5</v>
      </c>
      <c r="AW362" t="s">
        <v>9549</v>
      </c>
    </row>
    <row r="363" spans="1:49">
      <c r="A363" s="1">
        <f>HYPERLINK("https://cms.ls-nyc.org/matter/dynamic-profile/view/1883109","18-1883109")</f>
        <v>0</v>
      </c>
      <c r="B363" t="s">
        <v>59</v>
      </c>
      <c r="C363" t="s">
        <v>82</v>
      </c>
      <c r="D363" t="s">
        <v>139</v>
      </c>
      <c r="E363" t="s">
        <v>255</v>
      </c>
      <c r="F363" t="s">
        <v>623</v>
      </c>
      <c r="G363" t="s">
        <v>1450</v>
      </c>
      <c r="H363" t="s">
        <v>2833</v>
      </c>
      <c r="J363" t="s">
        <v>4222</v>
      </c>
      <c r="K363">
        <v>11434</v>
      </c>
      <c r="L363" t="s">
        <v>4275</v>
      </c>
      <c r="M363" t="s">
        <v>4275</v>
      </c>
      <c r="O363" t="s">
        <v>4281</v>
      </c>
      <c r="P363" t="s">
        <v>4637</v>
      </c>
      <c r="Q363" t="s">
        <v>5732</v>
      </c>
      <c r="R363" t="s">
        <v>5751</v>
      </c>
      <c r="S363" t="s">
        <v>5758</v>
      </c>
      <c r="T363" t="s">
        <v>4276</v>
      </c>
      <c r="V363" t="s">
        <v>5767</v>
      </c>
      <c r="W363" t="s">
        <v>5772</v>
      </c>
      <c r="X363" t="s">
        <v>190</v>
      </c>
      <c r="Y363">
        <v>500</v>
      </c>
      <c r="Z363" t="s">
        <v>5803</v>
      </c>
      <c r="AA363" t="s">
        <v>5805</v>
      </c>
      <c r="AB363" t="s">
        <v>5820</v>
      </c>
      <c r="AC363" t="s">
        <v>6177</v>
      </c>
      <c r="AE363" t="s">
        <v>8183</v>
      </c>
      <c r="AF363">
        <v>4</v>
      </c>
      <c r="AG363" t="s">
        <v>9269</v>
      </c>
      <c r="AH363" t="s">
        <v>4280</v>
      </c>
      <c r="AI363">
        <v>9</v>
      </c>
      <c r="AJ363">
        <v>1</v>
      </c>
      <c r="AK363">
        <v>0</v>
      </c>
      <c r="AL363">
        <v>64.25</v>
      </c>
      <c r="AO363" t="s">
        <v>1425</v>
      </c>
      <c r="AP363">
        <v>7800</v>
      </c>
      <c r="AR363" t="s">
        <v>9327</v>
      </c>
      <c r="AS363" t="s">
        <v>5806</v>
      </c>
      <c r="AT363" t="s">
        <v>9369</v>
      </c>
      <c r="AU363" t="s">
        <v>9437</v>
      </c>
      <c r="AV363">
        <v>1.7</v>
      </c>
      <c r="AW363" t="s">
        <v>60</v>
      </c>
    </row>
    <row r="364" spans="1:49">
      <c r="A364" s="1">
        <f>HYPERLINK("https://cms.ls-nyc.org/matter/dynamic-profile/view/1894356","19-1894356")</f>
        <v>0</v>
      </c>
      <c r="B364" t="s">
        <v>59</v>
      </c>
      <c r="C364" t="s">
        <v>83</v>
      </c>
      <c r="D364" t="s">
        <v>121</v>
      </c>
      <c r="F364" t="s">
        <v>624</v>
      </c>
      <c r="G364" t="s">
        <v>1508</v>
      </c>
      <c r="H364" t="s">
        <v>2834</v>
      </c>
      <c r="J364" t="s">
        <v>4222</v>
      </c>
      <c r="K364">
        <v>11434</v>
      </c>
      <c r="L364" t="s">
        <v>4275</v>
      </c>
      <c r="M364" t="s">
        <v>4275</v>
      </c>
      <c r="O364" t="s">
        <v>4281</v>
      </c>
      <c r="P364" t="s">
        <v>4638</v>
      </c>
      <c r="Q364" t="s">
        <v>5732</v>
      </c>
      <c r="R364" t="s">
        <v>5751</v>
      </c>
      <c r="T364" t="s">
        <v>4276</v>
      </c>
      <c r="V364" t="s">
        <v>5767</v>
      </c>
      <c r="X364" t="s">
        <v>121</v>
      </c>
      <c r="Y364">
        <v>1555</v>
      </c>
      <c r="Z364" t="s">
        <v>5803</v>
      </c>
      <c r="AA364" t="s">
        <v>5805</v>
      </c>
      <c r="AC364" t="s">
        <v>6178</v>
      </c>
      <c r="AE364" t="s">
        <v>8184</v>
      </c>
      <c r="AF364">
        <v>0</v>
      </c>
      <c r="AG364" t="s">
        <v>9270</v>
      </c>
      <c r="AH364" t="s">
        <v>9282</v>
      </c>
      <c r="AI364">
        <v>3</v>
      </c>
      <c r="AJ364">
        <v>1</v>
      </c>
      <c r="AK364">
        <v>0</v>
      </c>
      <c r="AL364">
        <v>70.04000000000001</v>
      </c>
      <c r="AO364" t="s">
        <v>1425</v>
      </c>
      <c r="AP364">
        <v>8748</v>
      </c>
      <c r="AV364">
        <v>13.25</v>
      </c>
      <c r="AW364" t="s">
        <v>54</v>
      </c>
    </row>
    <row r="365" spans="1:49">
      <c r="A365" s="1">
        <f>HYPERLINK("https://cms.ls-nyc.org/matter/dynamic-profile/view/1871531","18-1871531")</f>
        <v>0</v>
      </c>
      <c r="B365" t="s">
        <v>59</v>
      </c>
      <c r="C365" t="s">
        <v>82</v>
      </c>
      <c r="D365" t="s">
        <v>102</v>
      </c>
      <c r="E365" t="s">
        <v>266</v>
      </c>
      <c r="F365" t="s">
        <v>625</v>
      </c>
      <c r="G365" t="s">
        <v>1691</v>
      </c>
      <c r="H365" t="s">
        <v>2835</v>
      </c>
      <c r="I365">
        <v>11</v>
      </c>
      <c r="J365" t="s">
        <v>4222</v>
      </c>
      <c r="K365">
        <v>11435</v>
      </c>
      <c r="L365" t="s">
        <v>4275</v>
      </c>
      <c r="M365" t="s">
        <v>4275</v>
      </c>
      <c r="O365" t="s">
        <v>4282</v>
      </c>
      <c r="P365" t="s">
        <v>4639</v>
      </c>
      <c r="Q365" t="s">
        <v>5732</v>
      </c>
      <c r="R365" t="s">
        <v>5751</v>
      </c>
      <c r="S365" t="s">
        <v>5758</v>
      </c>
      <c r="T365" t="s">
        <v>4276</v>
      </c>
      <c r="V365" t="s">
        <v>5767</v>
      </c>
      <c r="W365" t="s">
        <v>5772</v>
      </c>
      <c r="X365" t="s">
        <v>102</v>
      </c>
      <c r="Y365">
        <v>800</v>
      </c>
      <c r="Z365" t="s">
        <v>5803</v>
      </c>
      <c r="AA365" t="s">
        <v>5804</v>
      </c>
      <c r="AB365" t="s">
        <v>5820</v>
      </c>
      <c r="AC365" t="s">
        <v>6179</v>
      </c>
      <c r="AD365" t="s">
        <v>4700</v>
      </c>
      <c r="AE365" t="s">
        <v>8185</v>
      </c>
      <c r="AF365">
        <v>24</v>
      </c>
      <c r="AG365" t="s">
        <v>9272</v>
      </c>
      <c r="AH365" t="s">
        <v>4280</v>
      </c>
      <c r="AI365">
        <v>30</v>
      </c>
      <c r="AJ365">
        <v>1</v>
      </c>
      <c r="AK365">
        <v>0</v>
      </c>
      <c r="AL365">
        <v>74.14</v>
      </c>
      <c r="AO365" t="s">
        <v>9298</v>
      </c>
      <c r="AP365">
        <v>9000</v>
      </c>
      <c r="AR365" t="s">
        <v>9329</v>
      </c>
      <c r="AS365" t="s">
        <v>9337</v>
      </c>
      <c r="AT365" t="s">
        <v>9369</v>
      </c>
      <c r="AU365" t="s">
        <v>9455</v>
      </c>
      <c r="AV365">
        <v>17.85</v>
      </c>
      <c r="AW365" t="s">
        <v>73</v>
      </c>
    </row>
    <row r="366" spans="1:49">
      <c r="A366" s="1">
        <f>HYPERLINK("https://cms.ls-nyc.org/matter/dynamic-profile/view/1887599","19-1887599")</f>
        <v>0</v>
      </c>
      <c r="B366" t="s">
        <v>59</v>
      </c>
      <c r="C366" t="s">
        <v>83</v>
      </c>
      <c r="D366" t="s">
        <v>136</v>
      </c>
      <c r="F366" t="s">
        <v>626</v>
      </c>
      <c r="G366" t="s">
        <v>1692</v>
      </c>
      <c r="H366" t="s">
        <v>2836</v>
      </c>
      <c r="I366" t="s">
        <v>3931</v>
      </c>
      <c r="J366" t="s">
        <v>4249</v>
      </c>
      <c r="K366">
        <v>11427</v>
      </c>
      <c r="L366" t="s">
        <v>4275</v>
      </c>
      <c r="M366" t="s">
        <v>4275</v>
      </c>
      <c r="O366" t="s">
        <v>4282</v>
      </c>
      <c r="P366" t="s">
        <v>4640</v>
      </c>
      <c r="Q366" t="s">
        <v>5732</v>
      </c>
      <c r="R366" t="s">
        <v>5753</v>
      </c>
      <c r="T366" t="s">
        <v>4276</v>
      </c>
      <c r="V366" t="s">
        <v>5767</v>
      </c>
      <c r="W366" t="s">
        <v>5772</v>
      </c>
      <c r="X366" t="s">
        <v>136</v>
      </c>
      <c r="Y366">
        <v>1093</v>
      </c>
      <c r="Z366" t="s">
        <v>5803</v>
      </c>
      <c r="AA366" t="s">
        <v>5804</v>
      </c>
      <c r="AC366" t="s">
        <v>6180</v>
      </c>
      <c r="AD366" t="s">
        <v>7443</v>
      </c>
      <c r="AE366" t="s">
        <v>8186</v>
      </c>
      <c r="AF366">
        <v>48</v>
      </c>
      <c r="AG366" t="s">
        <v>9272</v>
      </c>
      <c r="AH366" t="s">
        <v>4280</v>
      </c>
      <c r="AI366">
        <v>13</v>
      </c>
      <c r="AJ366">
        <v>2</v>
      </c>
      <c r="AK366">
        <v>1</v>
      </c>
      <c r="AL366">
        <v>75.06999999999999</v>
      </c>
      <c r="AO366" t="s">
        <v>1425</v>
      </c>
      <c r="AP366">
        <v>15600</v>
      </c>
      <c r="AV366">
        <v>0.6</v>
      </c>
      <c r="AW366" t="s">
        <v>73</v>
      </c>
    </row>
    <row r="367" spans="1:49">
      <c r="A367" s="1">
        <f>HYPERLINK("https://cms.ls-nyc.org/matter/dynamic-profile/view/1888594","19-1888594")</f>
        <v>0</v>
      </c>
      <c r="B367" t="s">
        <v>59</v>
      </c>
      <c r="C367" t="s">
        <v>83</v>
      </c>
      <c r="D367" t="s">
        <v>125</v>
      </c>
      <c r="F367" t="s">
        <v>381</v>
      </c>
      <c r="G367" t="s">
        <v>1506</v>
      </c>
      <c r="H367" t="s">
        <v>2837</v>
      </c>
      <c r="I367">
        <v>2</v>
      </c>
      <c r="J367" t="s">
        <v>4222</v>
      </c>
      <c r="K367">
        <v>11433</v>
      </c>
      <c r="L367" t="s">
        <v>4275</v>
      </c>
      <c r="M367" t="s">
        <v>4275</v>
      </c>
      <c r="O367" t="s">
        <v>4282</v>
      </c>
      <c r="P367" t="s">
        <v>4641</v>
      </c>
      <c r="Q367" t="s">
        <v>5732</v>
      </c>
      <c r="R367" t="s">
        <v>5751</v>
      </c>
      <c r="T367" t="s">
        <v>4276</v>
      </c>
      <c r="V367" t="s">
        <v>5767</v>
      </c>
      <c r="Y367">
        <v>1200</v>
      </c>
      <c r="Z367" t="s">
        <v>5803</v>
      </c>
      <c r="AA367" t="s">
        <v>5804</v>
      </c>
      <c r="AC367" t="s">
        <v>6181</v>
      </c>
      <c r="AD367" t="s">
        <v>7444</v>
      </c>
      <c r="AE367" t="s">
        <v>8187</v>
      </c>
      <c r="AF367">
        <v>2</v>
      </c>
      <c r="AG367" t="s">
        <v>9270</v>
      </c>
      <c r="AH367" t="s">
        <v>9284</v>
      </c>
      <c r="AI367">
        <v>3</v>
      </c>
      <c r="AJ367">
        <v>1</v>
      </c>
      <c r="AK367">
        <v>0</v>
      </c>
      <c r="AL367">
        <v>76.06</v>
      </c>
      <c r="AO367" t="s">
        <v>1425</v>
      </c>
      <c r="AP367">
        <v>9500</v>
      </c>
      <c r="AV367">
        <v>4.1</v>
      </c>
      <c r="AW367" t="s">
        <v>54</v>
      </c>
    </row>
    <row r="368" spans="1:49">
      <c r="A368" s="1">
        <f>HYPERLINK("https://cms.ls-nyc.org/matter/dynamic-profile/view/1885381","18-1885381")</f>
        <v>0</v>
      </c>
      <c r="B368" t="s">
        <v>59</v>
      </c>
      <c r="C368" t="s">
        <v>83</v>
      </c>
      <c r="D368" t="s">
        <v>185</v>
      </c>
      <c r="F368" t="s">
        <v>627</v>
      </c>
      <c r="G368" t="s">
        <v>956</v>
      </c>
      <c r="H368" t="s">
        <v>2838</v>
      </c>
      <c r="I368" t="s">
        <v>3864</v>
      </c>
      <c r="J368" t="s">
        <v>4226</v>
      </c>
      <c r="K368">
        <v>11385</v>
      </c>
      <c r="L368" t="s">
        <v>4275</v>
      </c>
      <c r="M368" t="s">
        <v>4275</v>
      </c>
      <c r="O368" t="s">
        <v>4281</v>
      </c>
      <c r="P368" t="s">
        <v>4642</v>
      </c>
      <c r="Q368" t="s">
        <v>5732</v>
      </c>
      <c r="R368" t="s">
        <v>5751</v>
      </c>
      <c r="T368" t="s">
        <v>4276</v>
      </c>
      <c r="V368" t="s">
        <v>5767</v>
      </c>
      <c r="W368" t="s">
        <v>5772</v>
      </c>
      <c r="X368" t="s">
        <v>185</v>
      </c>
      <c r="Y368">
        <v>2300</v>
      </c>
      <c r="Z368" t="s">
        <v>5803</v>
      </c>
      <c r="AA368" t="s">
        <v>5804</v>
      </c>
      <c r="AC368" t="s">
        <v>6182</v>
      </c>
      <c r="AD368" t="s">
        <v>7445</v>
      </c>
      <c r="AE368" t="s">
        <v>8188</v>
      </c>
      <c r="AF368">
        <v>2</v>
      </c>
      <c r="AG368" t="s">
        <v>9269</v>
      </c>
      <c r="AH368" t="s">
        <v>4280</v>
      </c>
      <c r="AI368">
        <v>1</v>
      </c>
      <c r="AJ368">
        <v>1</v>
      </c>
      <c r="AK368">
        <v>2</v>
      </c>
      <c r="AL368">
        <v>76.20999999999999</v>
      </c>
      <c r="AO368" t="s">
        <v>1425</v>
      </c>
      <c r="AP368">
        <v>15836</v>
      </c>
      <c r="AV368">
        <v>10.7</v>
      </c>
      <c r="AW368" t="s">
        <v>73</v>
      </c>
    </row>
    <row r="369" spans="1:49">
      <c r="A369" s="1">
        <f>HYPERLINK("https://cms.ls-nyc.org/matter/dynamic-profile/view/1892791","19-1892791")</f>
        <v>0</v>
      </c>
      <c r="B369" t="s">
        <v>59</v>
      </c>
      <c r="C369" t="s">
        <v>83</v>
      </c>
      <c r="D369" t="s">
        <v>134</v>
      </c>
      <c r="F369" t="s">
        <v>597</v>
      </c>
      <c r="G369" t="s">
        <v>1508</v>
      </c>
      <c r="H369" t="s">
        <v>2751</v>
      </c>
      <c r="I369" t="s">
        <v>3866</v>
      </c>
      <c r="J369" t="s">
        <v>4222</v>
      </c>
      <c r="K369">
        <v>11433</v>
      </c>
      <c r="L369" t="s">
        <v>4275</v>
      </c>
      <c r="M369" t="s">
        <v>4275</v>
      </c>
      <c r="N369" t="s">
        <v>4278</v>
      </c>
      <c r="O369" t="s">
        <v>4281</v>
      </c>
      <c r="P369" t="s">
        <v>4643</v>
      </c>
      <c r="Q369" t="s">
        <v>5732</v>
      </c>
      <c r="R369" t="s">
        <v>5751</v>
      </c>
      <c r="T369" t="s">
        <v>4276</v>
      </c>
      <c r="V369" t="s">
        <v>5767</v>
      </c>
      <c r="W369" t="s">
        <v>5772</v>
      </c>
      <c r="X369" t="s">
        <v>134</v>
      </c>
      <c r="Y369">
        <v>1300</v>
      </c>
      <c r="Z369" t="s">
        <v>5803</v>
      </c>
      <c r="AA369" t="s">
        <v>5805</v>
      </c>
      <c r="AC369" t="s">
        <v>6183</v>
      </c>
      <c r="AE369" t="s">
        <v>8189</v>
      </c>
      <c r="AF369">
        <v>0</v>
      </c>
      <c r="AG369" t="s">
        <v>9269</v>
      </c>
      <c r="AH369" t="s">
        <v>4280</v>
      </c>
      <c r="AI369">
        <v>22</v>
      </c>
      <c r="AJ369">
        <v>3</v>
      </c>
      <c r="AK369">
        <v>0</v>
      </c>
      <c r="AL369">
        <v>76.51000000000001</v>
      </c>
      <c r="AO369" t="s">
        <v>1425</v>
      </c>
      <c r="AP369">
        <v>16320</v>
      </c>
      <c r="AV369">
        <v>18.65</v>
      </c>
      <c r="AW369" t="s">
        <v>54</v>
      </c>
    </row>
    <row r="370" spans="1:49">
      <c r="A370" s="1">
        <f>HYPERLINK("https://cms.ls-nyc.org/matter/dynamic-profile/view/1890041","19-1890041")</f>
        <v>0</v>
      </c>
      <c r="B370" t="s">
        <v>59</v>
      </c>
      <c r="C370" t="s">
        <v>82</v>
      </c>
      <c r="D370" t="s">
        <v>175</v>
      </c>
      <c r="E370" t="s">
        <v>288</v>
      </c>
      <c r="F370" t="s">
        <v>376</v>
      </c>
      <c r="G370" t="s">
        <v>1693</v>
      </c>
      <c r="H370" t="s">
        <v>2839</v>
      </c>
      <c r="I370" t="s">
        <v>3987</v>
      </c>
      <c r="J370" t="s">
        <v>4241</v>
      </c>
      <c r="K370">
        <v>11368</v>
      </c>
      <c r="L370" t="s">
        <v>4275</v>
      </c>
      <c r="M370" t="s">
        <v>4275</v>
      </c>
      <c r="N370" t="s">
        <v>4278</v>
      </c>
      <c r="O370" t="s">
        <v>4282</v>
      </c>
      <c r="P370" t="s">
        <v>4644</v>
      </c>
      <c r="Q370" t="s">
        <v>5732</v>
      </c>
      <c r="R370" t="s">
        <v>5753</v>
      </c>
      <c r="S370" t="s">
        <v>5759</v>
      </c>
      <c r="T370" t="s">
        <v>4276</v>
      </c>
      <c r="V370" t="s">
        <v>5767</v>
      </c>
      <c r="W370" t="s">
        <v>5772</v>
      </c>
      <c r="X370" t="s">
        <v>115</v>
      </c>
      <c r="Y370">
        <v>600</v>
      </c>
      <c r="Z370" t="s">
        <v>5803</v>
      </c>
      <c r="AA370" t="s">
        <v>5804</v>
      </c>
      <c r="AB370" t="s">
        <v>5821</v>
      </c>
      <c r="AC370" t="s">
        <v>6184</v>
      </c>
      <c r="AD370" t="s">
        <v>7446</v>
      </c>
      <c r="AE370" t="s">
        <v>8190</v>
      </c>
      <c r="AF370">
        <v>3</v>
      </c>
      <c r="AG370" t="s">
        <v>9269</v>
      </c>
      <c r="AH370" t="s">
        <v>4280</v>
      </c>
      <c r="AI370">
        <v>8</v>
      </c>
      <c r="AJ370">
        <v>1</v>
      </c>
      <c r="AK370">
        <v>0</v>
      </c>
      <c r="AL370">
        <v>76.86</v>
      </c>
      <c r="AO370" t="s">
        <v>9298</v>
      </c>
      <c r="AP370">
        <v>9600</v>
      </c>
      <c r="AV370">
        <v>0.1</v>
      </c>
      <c r="AW370" t="s">
        <v>74</v>
      </c>
    </row>
    <row r="371" spans="1:49">
      <c r="A371" s="1">
        <f>HYPERLINK("https://cms.ls-nyc.org/matter/dynamic-profile/view/1874939","18-1874939")</f>
        <v>0</v>
      </c>
      <c r="B371" t="s">
        <v>59</v>
      </c>
      <c r="C371" t="s">
        <v>83</v>
      </c>
      <c r="D371" t="s">
        <v>85</v>
      </c>
      <c r="F371" t="s">
        <v>628</v>
      </c>
      <c r="G371" t="s">
        <v>1694</v>
      </c>
      <c r="H371" t="s">
        <v>2840</v>
      </c>
      <c r="J371" t="s">
        <v>4222</v>
      </c>
      <c r="K371">
        <v>11433</v>
      </c>
      <c r="L371" t="s">
        <v>4275</v>
      </c>
      <c r="M371" t="s">
        <v>4275</v>
      </c>
      <c r="N371" t="s">
        <v>4278</v>
      </c>
      <c r="O371" t="s">
        <v>4281</v>
      </c>
      <c r="P371" t="s">
        <v>4645</v>
      </c>
      <c r="Q371" t="s">
        <v>5732</v>
      </c>
      <c r="R371" t="s">
        <v>5751</v>
      </c>
      <c r="T371" t="s">
        <v>4276</v>
      </c>
      <c r="V371" t="s">
        <v>5767</v>
      </c>
      <c r="W371" t="s">
        <v>5773</v>
      </c>
      <c r="X371" t="s">
        <v>85</v>
      </c>
      <c r="Y371">
        <v>1400</v>
      </c>
      <c r="Z371" t="s">
        <v>5803</v>
      </c>
      <c r="AA371" t="s">
        <v>5808</v>
      </c>
      <c r="AC371" t="s">
        <v>6185</v>
      </c>
      <c r="AD371" t="s">
        <v>7447</v>
      </c>
      <c r="AE371" t="s">
        <v>8191</v>
      </c>
      <c r="AF371">
        <v>2</v>
      </c>
      <c r="AG371" t="s">
        <v>9269</v>
      </c>
      <c r="AH371" t="s">
        <v>9282</v>
      </c>
      <c r="AI371">
        <v>10</v>
      </c>
      <c r="AJ371">
        <v>2</v>
      </c>
      <c r="AK371">
        <v>0</v>
      </c>
      <c r="AL371">
        <v>78.73999999999999</v>
      </c>
      <c r="AN371" t="s">
        <v>9296</v>
      </c>
      <c r="AO371" t="s">
        <v>1425</v>
      </c>
      <c r="AP371">
        <v>12960</v>
      </c>
      <c r="AR371" t="s">
        <v>9333</v>
      </c>
      <c r="AS371" t="s">
        <v>9352</v>
      </c>
      <c r="AT371" t="s">
        <v>9370</v>
      </c>
      <c r="AU371" t="s">
        <v>9456</v>
      </c>
      <c r="AV371">
        <v>29.4</v>
      </c>
      <c r="AW371" t="s">
        <v>59</v>
      </c>
    </row>
    <row r="372" spans="1:49">
      <c r="A372" s="1">
        <f>HYPERLINK("https://cms.ls-nyc.org/matter/dynamic-profile/view/1883192","18-1883192")</f>
        <v>0</v>
      </c>
      <c r="B372" t="s">
        <v>59</v>
      </c>
      <c r="C372" t="s">
        <v>83</v>
      </c>
      <c r="D372" t="s">
        <v>139</v>
      </c>
      <c r="F372" t="s">
        <v>629</v>
      </c>
      <c r="G372" t="s">
        <v>1695</v>
      </c>
      <c r="H372" t="s">
        <v>2833</v>
      </c>
      <c r="J372" t="s">
        <v>4222</v>
      </c>
      <c r="K372">
        <v>11434</v>
      </c>
      <c r="L372" t="s">
        <v>4275</v>
      </c>
      <c r="M372" t="s">
        <v>4275</v>
      </c>
      <c r="O372" t="s">
        <v>4282</v>
      </c>
      <c r="P372" t="s">
        <v>4646</v>
      </c>
      <c r="Q372" t="s">
        <v>5732</v>
      </c>
      <c r="R372" t="s">
        <v>5751</v>
      </c>
      <c r="T372" t="s">
        <v>4276</v>
      </c>
      <c r="V372" t="s">
        <v>5767</v>
      </c>
      <c r="Y372">
        <v>0</v>
      </c>
      <c r="Z372" t="s">
        <v>5803</v>
      </c>
      <c r="AC372" t="s">
        <v>6186</v>
      </c>
      <c r="AE372" t="s">
        <v>8192</v>
      </c>
      <c r="AF372">
        <v>4</v>
      </c>
      <c r="AG372" t="s">
        <v>9269</v>
      </c>
      <c r="AI372">
        <v>0</v>
      </c>
      <c r="AJ372">
        <v>1</v>
      </c>
      <c r="AK372">
        <v>0</v>
      </c>
      <c r="AL372">
        <v>81.05</v>
      </c>
      <c r="AO372" t="s">
        <v>1425</v>
      </c>
      <c r="AP372">
        <v>9840</v>
      </c>
      <c r="AV372">
        <v>5.4</v>
      </c>
      <c r="AW372" t="s">
        <v>54</v>
      </c>
    </row>
    <row r="373" spans="1:49">
      <c r="A373" s="1">
        <f>HYPERLINK("https://cms.ls-nyc.org/matter/dynamic-profile/view/1900990","19-1900990")</f>
        <v>0</v>
      </c>
      <c r="B373" t="s">
        <v>59</v>
      </c>
      <c r="C373" t="s">
        <v>83</v>
      </c>
      <c r="D373" t="s">
        <v>217</v>
      </c>
      <c r="F373" t="s">
        <v>630</v>
      </c>
      <c r="G373" t="s">
        <v>1696</v>
      </c>
      <c r="H373" t="s">
        <v>2841</v>
      </c>
      <c r="I373" t="s">
        <v>3988</v>
      </c>
      <c r="J373" t="s">
        <v>4222</v>
      </c>
      <c r="K373">
        <v>11433</v>
      </c>
      <c r="L373" t="s">
        <v>4275</v>
      </c>
      <c r="M373" t="s">
        <v>4277</v>
      </c>
      <c r="N373" t="s">
        <v>4278</v>
      </c>
      <c r="O373" t="s">
        <v>4281</v>
      </c>
      <c r="P373" t="s">
        <v>4647</v>
      </c>
      <c r="Q373" t="s">
        <v>5732</v>
      </c>
      <c r="R373" t="s">
        <v>5753</v>
      </c>
      <c r="T373" t="s">
        <v>4276</v>
      </c>
      <c r="V373" t="s">
        <v>5767</v>
      </c>
      <c r="X373" t="s">
        <v>5784</v>
      </c>
      <c r="Y373">
        <v>1700</v>
      </c>
      <c r="Z373" t="s">
        <v>5803</v>
      </c>
      <c r="AA373" t="s">
        <v>5804</v>
      </c>
      <c r="AC373" t="s">
        <v>6187</v>
      </c>
      <c r="AD373" t="s">
        <v>7448</v>
      </c>
      <c r="AE373" t="s">
        <v>8193</v>
      </c>
      <c r="AF373">
        <v>15</v>
      </c>
      <c r="AG373" t="s">
        <v>9278</v>
      </c>
      <c r="AH373" t="s">
        <v>9282</v>
      </c>
      <c r="AI373">
        <v>6</v>
      </c>
      <c r="AJ373">
        <v>2</v>
      </c>
      <c r="AK373">
        <v>3</v>
      </c>
      <c r="AL373">
        <v>81.86</v>
      </c>
      <c r="AO373" t="s">
        <v>1425</v>
      </c>
      <c r="AP373">
        <v>24696</v>
      </c>
      <c r="AV373">
        <v>1.1</v>
      </c>
      <c r="AW373" t="s">
        <v>9549</v>
      </c>
    </row>
    <row r="374" spans="1:49">
      <c r="A374" s="1">
        <f>HYPERLINK("https://cms.ls-nyc.org/matter/dynamic-profile/view/1895664","19-1895664")</f>
        <v>0</v>
      </c>
      <c r="B374" t="s">
        <v>59</v>
      </c>
      <c r="C374" t="s">
        <v>83</v>
      </c>
      <c r="D374" t="s">
        <v>206</v>
      </c>
      <c r="F374" t="s">
        <v>457</v>
      </c>
      <c r="G374" t="s">
        <v>417</v>
      </c>
      <c r="H374" t="s">
        <v>2842</v>
      </c>
      <c r="I374" t="s">
        <v>3989</v>
      </c>
      <c r="J374" t="s">
        <v>4222</v>
      </c>
      <c r="K374">
        <v>11436</v>
      </c>
      <c r="L374" t="s">
        <v>4275</v>
      </c>
      <c r="M374" t="s">
        <v>4275</v>
      </c>
      <c r="O374" t="s">
        <v>4282</v>
      </c>
      <c r="P374" t="s">
        <v>4648</v>
      </c>
      <c r="Q374" t="s">
        <v>5731</v>
      </c>
      <c r="R374" t="s">
        <v>5751</v>
      </c>
      <c r="T374" t="s">
        <v>4276</v>
      </c>
      <c r="V374" t="s">
        <v>5767</v>
      </c>
      <c r="W374" t="s">
        <v>5772</v>
      </c>
      <c r="X374" t="s">
        <v>206</v>
      </c>
      <c r="Y374">
        <v>163</v>
      </c>
      <c r="Z374" t="s">
        <v>5803</v>
      </c>
      <c r="AA374" t="s">
        <v>5804</v>
      </c>
      <c r="AC374" t="s">
        <v>6188</v>
      </c>
      <c r="AE374" t="s">
        <v>8194</v>
      </c>
      <c r="AF374">
        <v>50</v>
      </c>
      <c r="AG374" t="s">
        <v>9270</v>
      </c>
      <c r="AH374" t="s">
        <v>9282</v>
      </c>
      <c r="AI374">
        <v>18</v>
      </c>
      <c r="AJ374">
        <v>1</v>
      </c>
      <c r="AK374">
        <v>0</v>
      </c>
      <c r="AL374">
        <v>82.34</v>
      </c>
      <c r="AO374" t="s">
        <v>1425</v>
      </c>
      <c r="AP374">
        <v>10284</v>
      </c>
      <c r="AS374" t="s">
        <v>9341</v>
      </c>
      <c r="AT374" t="s">
        <v>9369</v>
      </c>
      <c r="AU374" t="s">
        <v>9457</v>
      </c>
      <c r="AV374">
        <v>2</v>
      </c>
      <c r="AW374" t="s">
        <v>54</v>
      </c>
    </row>
    <row r="375" spans="1:49">
      <c r="A375" s="1">
        <f>HYPERLINK("https://cms.ls-nyc.org/matter/dynamic-profile/view/1889615","19-1889615")</f>
        <v>0</v>
      </c>
      <c r="B375" t="s">
        <v>59</v>
      </c>
      <c r="C375" t="s">
        <v>82</v>
      </c>
      <c r="D375" t="s">
        <v>171</v>
      </c>
      <c r="E375" t="s">
        <v>288</v>
      </c>
      <c r="F375" t="s">
        <v>631</v>
      </c>
      <c r="G375" t="s">
        <v>1697</v>
      </c>
      <c r="H375" t="s">
        <v>2843</v>
      </c>
      <c r="I375" t="s">
        <v>3990</v>
      </c>
      <c r="J375" t="s">
        <v>4255</v>
      </c>
      <c r="K375">
        <v>11372</v>
      </c>
      <c r="L375" t="s">
        <v>4275</v>
      </c>
      <c r="M375" t="s">
        <v>4275</v>
      </c>
      <c r="N375" t="s">
        <v>4278</v>
      </c>
      <c r="O375" t="s">
        <v>4282</v>
      </c>
      <c r="P375" t="s">
        <v>4649</v>
      </c>
      <c r="Q375" t="s">
        <v>5732</v>
      </c>
      <c r="R375" t="s">
        <v>5753</v>
      </c>
      <c r="S375" t="s">
        <v>5759</v>
      </c>
      <c r="T375" t="s">
        <v>4276</v>
      </c>
      <c r="V375" t="s">
        <v>5767</v>
      </c>
      <c r="W375" t="s">
        <v>5772</v>
      </c>
      <c r="X375" t="s">
        <v>171</v>
      </c>
      <c r="Y375">
        <v>1068</v>
      </c>
      <c r="Z375" t="s">
        <v>5803</v>
      </c>
      <c r="AA375" t="s">
        <v>5804</v>
      </c>
      <c r="AB375" t="s">
        <v>5821</v>
      </c>
      <c r="AC375" t="s">
        <v>6189</v>
      </c>
      <c r="AD375" t="s">
        <v>7449</v>
      </c>
      <c r="AE375" t="s">
        <v>8195</v>
      </c>
      <c r="AF375">
        <v>60</v>
      </c>
      <c r="AG375" t="s">
        <v>9272</v>
      </c>
      <c r="AH375" t="s">
        <v>9283</v>
      </c>
      <c r="AI375">
        <v>14</v>
      </c>
      <c r="AJ375">
        <v>3</v>
      </c>
      <c r="AK375">
        <v>5</v>
      </c>
      <c r="AL375">
        <v>82.62</v>
      </c>
      <c r="AO375" t="s">
        <v>1425</v>
      </c>
      <c r="AP375">
        <v>35880</v>
      </c>
      <c r="AV375">
        <v>0.1</v>
      </c>
      <c r="AW375" t="s">
        <v>73</v>
      </c>
    </row>
    <row r="376" spans="1:49">
      <c r="A376" s="1">
        <f>HYPERLINK("https://cms.ls-nyc.org/matter/dynamic-profile/view/1895187","19-1895187")</f>
        <v>0</v>
      </c>
      <c r="B376" t="s">
        <v>59</v>
      </c>
      <c r="C376" t="s">
        <v>83</v>
      </c>
      <c r="D376" t="s">
        <v>218</v>
      </c>
      <c r="F376" t="s">
        <v>632</v>
      </c>
      <c r="G376" t="s">
        <v>1698</v>
      </c>
      <c r="H376" t="s">
        <v>2844</v>
      </c>
      <c r="I376" t="s">
        <v>3991</v>
      </c>
      <c r="J376" t="s">
        <v>4222</v>
      </c>
      <c r="K376">
        <v>11434</v>
      </c>
      <c r="L376" t="s">
        <v>4276</v>
      </c>
      <c r="M376" t="s">
        <v>4275</v>
      </c>
      <c r="O376" t="s">
        <v>4281</v>
      </c>
      <c r="P376" t="s">
        <v>4650</v>
      </c>
      <c r="Q376" t="s">
        <v>5731</v>
      </c>
      <c r="R376" t="s">
        <v>5751</v>
      </c>
      <c r="T376" t="s">
        <v>4276</v>
      </c>
      <c r="V376" t="s">
        <v>5767</v>
      </c>
      <c r="W376" t="s">
        <v>5772</v>
      </c>
      <c r="X376" t="s">
        <v>218</v>
      </c>
      <c r="Y376">
        <v>1057.1</v>
      </c>
      <c r="Z376" t="s">
        <v>5803</v>
      </c>
      <c r="AA376" t="s">
        <v>5806</v>
      </c>
      <c r="AC376" t="s">
        <v>6190</v>
      </c>
      <c r="AE376" t="s">
        <v>8196</v>
      </c>
      <c r="AF376">
        <v>104</v>
      </c>
      <c r="AG376" t="s">
        <v>9273</v>
      </c>
      <c r="AH376" t="s">
        <v>4280</v>
      </c>
      <c r="AI376">
        <v>16</v>
      </c>
      <c r="AJ376">
        <v>1</v>
      </c>
      <c r="AK376">
        <v>2</v>
      </c>
      <c r="AL376">
        <v>85.33</v>
      </c>
      <c r="AO376" t="s">
        <v>1425</v>
      </c>
      <c r="AP376">
        <v>18200</v>
      </c>
      <c r="AV376">
        <v>13.1</v>
      </c>
      <c r="AW376" t="s">
        <v>64</v>
      </c>
    </row>
    <row r="377" spans="1:49">
      <c r="A377" s="1">
        <f>HYPERLINK("https://cms.ls-nyc.org/matter/dynamic-profile/view/1900738","19-1900738")</f>
        <v>0</v>
      </c>
      <c r="B377" t="s">
        <v>59</v>
      </c>
      <c r="C377" t="s">
        <v>83</v>
      </c>
      <c r="D377" t="s">
        <v>97</v>
      </c>
      <c r="F377" t="s">
        <v>633</v>
      </c>
      <c r="G377" t="s">
        <v>1699</v>
      </c>
      <c r="H377" t="s">
        <v>2806</v>
      </c>
      <c r="J377" t="s">
        <v>4222</v>
      </c>
      <c r="K377">
        <v>11433</v>
      </c>
      <c r="L377" t="s">
        <v>4275</v>
      </c>
      <c r="M377" t="s">
        <v>4277</v>
      </c>
      <c r="N377" t="s">
        <v>4278</v>
      </c>
      <c r="O377" t="s">
        <v>4281</v>
      </c>
      <c r="P377" t="s">
        <v>4651</v>
      </c>
      <c r="Q377" t="s">
        <v>5732</v>
      </c>
      <c r="R377" t="s">
        <v>5751</v>
      </c>
      <c r="T377" t="s">
        <v>4276</v>
      </c>
      <c r="V377" t="s">
        <v>5767</v>
      </c>
      <c r="X377" t="s">
        <v>97</v>
      </c>
      <c r="Y377">
        <v>1000</v>
      </c>
      <c r="Z377" t="s">
        <v>5803</v>
      </c>
      <c r="AA377" t="s">
        <v>5805</v>
      </c>
      <c r="AC377" t="s">
        <v>6191</v>
      </c>
      <c r="AE377" t="s">
        <v>7289</v>
      </c>
      <c r="AF377">
        <v>2</v>
      </c>
      <c r="AG377" t="s">
        <v>9270</v>
      </c>
      <c r="AH377" t="s">
        <v>9283</v>
      </c>
      <c r="AI377">
        <v>12</v>
      </c>
      <c r="AJ377">
        <v>3</v>
      </c>
      <c r="AK377">
        <v>1</v>
      </c>
      <c r="AL377">
        <v>85.44</v>
      </c>
      <c r="AO377" t="s">
        <v>1425</v>
      </c>
      <c r="AP377">
        <v>22000</v>
      </c>
      <c r="AV377">
        <v>6.6</v>
      </c>
      <c r="AW377" t="s">
        <v>54</v>
      </c>
    </row>
    <row r="378" spans="1:49">
      <c r="A378" s="1">
        <f>HYPERLINK("https://cms.ls-nyc.org/matter/dynamic-profile/view/1874508","18-1874508")</f>
        <v>0</v>
      </c>
      <c r="B378" t="s">
        <v>59</v>
      </c>
      <c r="C378" t="s">
        <v>82</v>
      </c>
      <c r="D378" t="s">
        <v>212</v>
      </c>
      <c r="E378" t="s">
        <v>181</v>
      </c>
      <c r="F378" t="s">
        <v>634</v>
      </c>
      <c r="G378" t="s">
        <v>1700</v>
      </c>
      <c r="H378" t="s">
        <v>2515</v>
      </c>
      <c r="I378" t="s">
        <v>3875</v>
      </c>
      <c r="J378" t="s">
        <v>4222</v>
      </c>
      <c r="K378">
        <v>11433</v>
      </c>
      <c r="L378" t="s">
        <v>4275</v>
      </c>
      <c r="M378" t="s">
        <v>4275</v>
      </c>
      <c r="O378" t="s">
        <v>4282</v>
      </c>
      <c r="P378" t="s">
        <v>4652</v>
      </c>
      <c r="Q378" t="s">
        <v>5733</v>
      </c>
      <c r="R378" t="s">
        <v>5753</v>
      </c>
      <c r="S378" t="s">
        <v>5759</v>
      </c>
      <c r="T378" t="s">
        <v>4276</v>
      </c>
      <c r="U378" t="s">
        <v>4282</v>
      </c>
      <c r="V378" t="s">
        <v>5768</v>
      </c>
      <c r="W378" t="s">
        <v>5772</v>
      </c>
      <c r="X378" t="s">
        <v>212</v>
      </c>
      <c r="Y378">
        <v>561</v>
      </c>
      <c r="Z378" t="s">
        <v>5803</v>
      </c>
      <c r="AA378" t="s">
        <v>5804</v>
      </c>
      <c r="AB378" t="s">
        <v>5821</v>
      </c>
      <c r="AC378" t="s">
        <v>6192</v>
      </c>
      <c r="AD378" t="s">
        <v>7450</v>
      </c>
      <c r="AE378" t="s">
        <v>8197</v>
      </c>
      <c r="AF378">
        <v>56</v>
      </c>
      <c r="AG378" t="s">
        <v>9272</v>
      </c>
      <c r="AH378" t="s">
        <v>4280</v>
      </c>
      <c r="AI378">
        <v>10</v>
      </c>
      <c r="AJ378">
        <v>1</v>
      </c>
      <c r="AK378">
        <v>2</v>
      </c>
      <c r="AL378">
        <v>90.28</v>
      </c>
      <c r="AN378" t="s">
        <v>9294</v>
      </c>
      <c r="AO378" t="s">
        <v>1425</v>
      </c>
      <c r="AP378">
        <v>18760</v>
      </c>
      <c r="AV378">
        <v>0.5</v>
      </c>
      <c r="AW378" t="s">
        <v>54</v>
      </c>
    </row>
    <row r="379" spans="1:49">
      <c r="A379" s="1">
        <f>HYPERLINK("https://cms.ls-nyc.org/matter/dynamic-profile/view/1871589","18-1871589")</f>
        <v>0</v>
      </c>
      <c r="B379" t="s">
        <v>59</v>
      </c>
      <c r="C379" t="s">
        <v>82</v>
      </c>
      <c r="D379" t="s">
        <v>102</v>
      </c>
      <c r="E379" t="s">
        <v>187</v>
      </c>
      <c r="F379" t="s">
        <v>635</v>
      </c>
      <c r="G379" t="s">
        <v>1701</v>
      </c>
      <c r="H379" t="s">
        <v>2845</v>
      </c>
      <c r="I379" t="s">
        <v>3992</v>
      </c>
      <c r="J379" t="s">
        <v>4222</v>
      </c>
      <c r="K379">
        <v>11432</v>
      </c>
      <c r="L379" t="s">
        <v>4275</v>
      </c>
      <c r="M379" t="s">
        <v>4275</v>
      </c>
      <c r="O379" t="s">
        <v>4282</v>
      </c>
      <c r="P379" t="s">
        <v>4653</v>
      </c>
      <c r="Q379" t="s">
        <v>5732</v>
      </c>
      <c r="R379" t="s">
        <v>5751</v>
      </c>
      <c r="S379" t="s">
        <v>5758</v>
      </c>
      <c r="T379" t="s">
        <v>4276</v>
      </c>
      <c r="V379" t="s">
        <v>5767</v>
      </c>
      <c r="W379" t="s">
        <v>5772</v>
      </c>
      <c r="X379" t="s">
        <v>102</v>
      </c>
      <c r="Y379">
        <v>1465</v>
      </c>
      <c r="Z379" t="s">
        <v>5803</v>
      </c>
      <c r="AA379" t="s">
        <v>5809</v>
      </c>
      <c r="AB379" t="s">
        <v>5820</v>
      </c>
      <c r="AC379" t="s">
        <v>6193</v>
      </c>
      <c r="AD379" t="s">
        <v>4700</v>
      </c>
      <c r="AE379" t="s">
        <v>8198</v>
      </c>
      <c r="AF379">
        <v>100</v>
      </c>
      <c r="AG379" t="s">
        <v>9272</v>
      </c>
      <c r="AH379" t="s">
        <v>4280</v>
      </c>
      <c r="AI379">
        <v>7</v>
      </c>
      <c r="AJ379">
        <v>2</v>
      </c>
      <c r="AK379">
        <v>2</v>
      </c>
      <c r="AL379">
        <v>91.63</v>
      </c>
      <c r="AO379" t="s">
        <v>1425</v>
      </c>
      <c r="AP379">
        <v>23000</v>
      </c>
      <c r="AR379" t="s">
        <v>9327</v>
      </c>
      <c r="AS379" t="s">
        <v>9353</v>
      </c>
      <c r="AT379" t="s">
        <v>9369</v>
      </c>
      <c r="AU379" t="s">
        <v>9458</v>
      </c>
      <c r="AV379">
        <v>19.85</v>
      </c>
      <c r="AW379" t="s">
        <v>49</v>
      </c>
    </row>
    <row r="380" spans="1:49">
      <c r="A380" s="1">
        <f>HYPERLINK("https://cms.ls-nyc.org/matter/dynamic-profile/view/1874293","18-1874293")</f>
        <v>0</v>
      </c>
      <c r="B380" t="s">
        <v>59</v>
      </c>
      <c r="C380" t="s">
        <v>82</v>
      </c>
      <c r="D380" t="s">
        <v>219</v>
      </c>
      <c r="E380" t="s">
        <v>168</v>
      </c>
      <c r="F380" t="s">
        <v>636</v>
      </c>
      <c r="G380" t="s">
        <v>1702</v>
      </c>
      <c r="H380" t="s">
        <v>2846</v>
      </c>
      <c r="I380" t="s">
        <v>3941</v>
      </c>
      <c r="J380" t="s">
        <v>4222</v>
      </c>
      <c r="K380">
        <v>11434</v>
      </c>
      <c r="L380" t="s">
        <v>4275</v>
      </c>
      <c r="M380" t="s">
        <v>4275</v>
      </c>
      <c r="O380" t="s">
        <v>4281</v>
      </c>
      <c r="P380" t="s">
        <v>4654</v>
      </c>
      <c r="Q380" t="s">
        <v>5732</v>
      </c>
      <c r="R380" t="s">
        <v>5751</v>
      </c>
      <c r="S380" t="s">
        <v>5758</v>
      </c>
      <c r="T380" t="s">
        <v>4276</v>
      </c>
      <c r="V380" t="s">
        <v>5767</v>
      </c>
      <c r="W380" t="s">
        <v>5772</v>
      </c>
      <c r="X380" t="s">
        <v>5785</v>
      </c>
      <c r="Y380">
        <v>0</v>
      </c>
      <c r="Z380" t="s">
        <v>5803</v>
      </c>
      <c r="AA380" t="s">
        <v>5804</v>
      </c>
      <c r="AB380" t="s">
        <v>5822</v>
      </c>
      <c r="AC380" t="s">
        <v>6194</v>
      </c>
      <c r="AD380" t="s">
        <v>4700</v>
      </c>
      <c r="AE380" t="s">
        <v>8199</v>
      </c>
      <c r="AF380">
        <v>2</v>
      </c>
      <c r="AG380" t="s">
        <v>9269</v>
      </c>
      <c r="AH380" t="s">
        <v>4280</v>
      </c>
      <c r="AI380">
        <v>4</v>
      </c>
      <c r="AJ380">
        <v>2</v>
      </c>
      <c r="AK380">
        <v>2</v>
      </c>
      <c r="AL380">
        <v>93.23</v>
      </c>
      <c r="AO380" t="s">
        <v>1425</v>
      </c>
      <c r="AP380">
        <v>23400</v>
      </c>
      <c r="AR380" t="s">
        <v>9333</v>
      </c>
      <c r="AT380" t="s">
        <v>9370</v>
      </c>
      <c r="AU380" t="s">
        <v>9421</v>
      </c>
      <c r="AV380">
        <v>9.699999999999999</v>
      </c>
      <c r="AW380" t="s">
        <v>73</v>
      </c>
    </row>
    <row r="381" spans="1:49">
      <c r="A381" s="1">
        <f>HYPERLINK("https://cms.ls-nyc.org/matter/dynamic-profile/view/1897597","19-1897597")</f>
        <v>0</v>
      </c>
      <c r="B381" t="s">
        <v>59</v>
      </c>
      <c r="C381" t="s">
        <v>83</v>
      </c>
      <c r="D381" t="s">
        <v>107</v>
      </c>
      <c r="F381" t="s">
        <v>344</v>
      </c>
      <c r="G381" t="s">
        <v>1703</v>
      </c>
      <c r="H381" t="s">
        <v>2847</v>
      </c>
      <c r="I381" t="s">
        <v>3942</v>
      </c>
      <c r="J381" t="s">
        <v>4240</v>
      </c>
      <c r="K381">
        <v>11373</v>
      </c>
      <c r="L381" t="s">
        <v>4275</v>
      </c>
      <c r="M381" t="s">
        <v>4275</v>
      </c>
      <c r="N381" t="s">
        <v>4278</v>
      </c>
      <c r="O381" t="s">
        <v>4281</v>
      </c>
      <c r="P381" t="s">
        <v>4655</v>
      </c>
      <c r="Q381" t="s">
        <v>5732</v>
      </c>
      <c r="R381" t="s">
        <v>5751</v>
      </c>
      <c r="T381" t="s">
        <v>4276</v>
      </c>
      <c r="V381" t="s">
        <v>5767</v>
      </c>
      <c r="W381" t="s">
        <v>5772</v>
      </c>
      <c r="X381" t="s">
        <v>107</v>
      </c>
      <c r="Y381">
        <v>1350</v>
      </c>
      <c r="Z381" t="s">
        <v>5803</v>
      </c>
      <c r="AA381" t="s">
        <v>5805</v>
      </c>
      <c r="AC381" t="s">
        <v>6195</v>
      </c>
      <c r="AE381" t="s">
        <v>8200</v>
      </c>
      <c r="AF381">
        <v>0</v>
      </c>
      <c r="AG381" t="s">
        <v>9270</v>
      </c>
      <c r="AH381" t="s">
        <v>4280</v>
      </c>
      <c r="AI381">
        <v>10</v>
      </c>
      <c r="AJ381">
        <v>2</v>
      </c>
      <c r="AK381">
        <v>2</v>
      </c>
      <c r="AL381">
        <v>97.09</v>
      </c>
      <c r="AO381" t="s">
        <v>1425</v>
      </c>
      <c r="AP381">
        <v>25000</v>
      </c>
      <c r="AR381" t="s">
        <v>9328</v>
      </c>
      <c r="AS381" t="s">
        <v>9337</v>
      </c>
      <c r="AT381" t="s">
        <v>9369</v>
      </c>
      <c r="AU381" t="s">
        <v>9440</v>
      </c>
      <c r="AV381">
        <v>8.949999999999999</v>
      </c>
      <c r="AW381" t="s">
        <v>54</v>
      </c>
    </row>
    <row r="382" spans="1:49">
      <c r="A382" s="1">
        <f>HYPERLINK("https://cms.ls-nyc.org/matter/dynamic-profile/view/1894593","19-1894593")</f>
        <v>0</v>
      </c>
      <c r="B382" t="s">
        <v>59</v>
      </c>
      <c r="C382" t="s">
        <v>82</v>
      </c>
      <c r="D382" t="s">
        <v>169</v>
      </c>
      <c r="E382" t="s">
        <v>288</v>
      </c>
      <c r="F382" t="s">
        <v>637</v>
      </c>
      <c r="G382" t="s">
        <v>1704</v>
      </c>
      <c r="H382" t="s">
        <v>2848</v>
      </c>
      <c r="J382" t="s">
        <v>4255</v>
      </c>
      <c r="K382">
        <v>11372</v>
      </c>
      <c r="L382" t="s">
        <v>4276</v>
      </c>
      <c r="M382" t="s">
        <v>4275</v>
      </c>
      <c r="N382" t="s">
        <v>4278</v>
      </c>
      <c r="O382" t="s">
        <v>4282</v>
      </c>
      <c r="P382" t="s">
        <v>4656</v>
      </c>
      <c r="Q382" t="s">
        <v>5731</v>
      </c>
      <c r="R382" t="s">
        <v>5753</v>
      </c>
      <c r="S382" t="s">
        <v>5759</v>
      </c>
      <c r="T382" t="s">
        <v>4276</v>
      </c>
      <c r="V382" t="s">
        <v>5767</v>
      </c>
      <c r="W382" t="s">
        <v>5772</v>
      </c>
      <c r="X382" t="s">
        <v>169</v>
      </c>
      <c r="Y382">
        <v>1825</v>
      </c>
      <c r="Z382" t="s">
        <v>5803</v>
      </c>
      <c r="AA382" t="s">
        <v>5804</v>
      </c>
      <c r="AB382" t="s">
        <v>5821</v>
      </c>
      <c r="AC382" t="s">
        <v>6196</v>
      </c>
      <c r="AE382" t="s">
        <v>8201</v>
      </c>
      <c r="AF382">
        <v>6</v>
      </c>
      <c r="AH382" t="s">
        <v>4280</v>
      </c>
      <c r="AI382">
        <v>14</v>
      </c>
      <c r="AJ382">
        <v>3</v>
      </c>
      <c r="AK382">
        <v>3</v>
      </c>
      <c r="AL382">
        <v>97.14</v>
      </c>
      <c r="AO382" t="s">
        <v>1425</v>
      </c>
      <c r="AP382">
        <v>33600</v>
      </c>
      <c r="AV382">
        <v>0.5</v>
      </c>
      <c r="AW382" t="s">
        <v>9547</v>
      </c>
    </row>
    <row r="383" spans="1:49">
      <c r="A383" s="1">
        <f>HYPERLINK("https://cms.ls-nyc.org/matter/dynamic-profile/view/1879405","18-1879405")</f>
        <v>0</v>
      </c>
      <c r="B383" t="s">
        <v>59</v>
      </c>
      <c r="C383" t="s">
        <v>82</v>
      </c>
      <c r="D383" t="s">
        <v>220</v>
      </c>
      <c r="E383" t="s">
        <v>187</v>
      </c>
      <c r="F383" t="s">
        <v>638</v>
      </c>
      <c r="G383" t="s">
        <v>1705</v>
      </c>
      <c r="H383" t="s">
        <v>2849</v>
      </c>
      <c r="I383" t="s">
        <v>3993</v>
      </c>
      <c r="J383" t="s">
        <v>4222</v>
      </c>
      <c r="K383">
        <v>11434</v>
      </c>
      <c r="L383" t="s">
        <v>4275</v>
      </c>
      <c r="M383" t="s">
        <v>4275</v>
      </c>
      <c r="O383" t="s">
        <v>4281</v>
      </c>
      <c r="P383" t="s">
        <v>4657</v>
      </c>
      <c r="Q383" t="s">
        <v>5732</v>
      </c>
      <c r="R383" t="s">
        <v>5751</v>
      </c>
      <c r="S383" t="s">
        <v>5762</v>
      </c>
      <c r="T383" t="s">
        <v>4276</v>
      </c>
      <c r="V383" t="s">
        <v>5767</v>
      </c>
      <c r="W383" t="s">
        <v>5772</v>
      </c>
      <c r="X383" t="s">
        <v>220</v>
      </c>
      <c r="Y383">
        <v>1500</v>
      </c>
      <c r="Z383" t="s">
        <v>5803</v>
      </c>
      <c r="AA383" t="s">
        <v>5804</v>
      </c>
      <c r="AB383" t="s">
        <v>5822</v>
      </c>
      <c r="AC383" t="s">
        <v>6197</v>
      </c>
      <c r="AE383" t="s">
        <v>8202</v>
      </c>
      <c r="AF383">
        <v>2</v>
      </c>
      <c r="AG383" t="s">
        <v>9269</v>
      </c>
      <c r="AH383" t="s">
        <v>4280</v>
      </c>
      <c r="AI383">
        <v>8</v>
      </c>
      <c r="AJ383">
        <v>1</v>
      </c>
      <c r="AK383">
        <v>4</v>
      </c>
      <c r="AL383">
        <v>97.89</v>
      </c>
      <c r="AO383" t="s">
        <v>1425</v>
      </c>
      <c r="AP383">
        <v>28800</v>
      </c>
      <c r="AS383" t="s">
        <v>5806</v>
      </c>
      <c r="AT383" t="s">
        <v>9370</v>
      </c>
      <c r="AU383" t="s">
        <v>9459</v>
      </c>
      <c r="AV383">
        <v>2</v>
      </c>
      <c r="AW383" t="s">
        <v>74</v>
      </c>
    </row>
    <row r="384" spans="1:49">
      <c r="A384" s="1">
        <f>HYPERLINK("https://cms.ls-nyc.org/matter/dynamic-profile/view/1871501","18-1871501")</f>
        <v>0</v>
      </c>
      <c r="B384" t="s">
        <v>59</v>
      </c>
      <c r="C384" t="s">
        <v>82</v>
      </c>
      <c r="D384" t="s">
        <v>102</v>
      </c>
      <c r="E384" t="s">
        <v>201</v>
      </c>
      <c r="F384" t="s">
        <v>639</v>
      </c>
      <c r="G384" t="s">
        <v>1706</v>
      </c>
      <c r="H384" t="s">
        <v>2850</v>
      </c>
      <c r="I384" t="s">
        <v>3860</v>
      </c>
      <c r="J384" t="s">
        <v>4222</v>
      </c>
      <c r="K384">
        <v>11435</v>
      </c>
      <c r="L384" t="s">
        <v>4275</v>
      </c>
      <c r="M384" t="s">
        <v>4275</v>
      </c>
      <c r="O384" t="s">
        <v>4282</v>
      </c>
      <c r="P384" t="s">
        <v>4658</v>
      </c>
      <c r="Q384" t="s">
        <v>5731</v>
      </c>
      <c r="R384" t="s">
        <v>5753</v>
      </c>
      <c r="S384" t="s">
        <v>5759</v>
      </c>
      <c r="T384" t="s">
        <v>4276</v>
      </c>
      <c r="V384" t="s">
        <v>5767</v>
      </c>
      <c r="W384" t="s">
        <v>5776</v>
      </c>
      <c r="X384" t="s">
        <v>102</v>
      </c>
      <c r="Y384">
        <v>1860</v>
      </c>
      <c r="Z384" t="s">
        <v>5803</v>
      </c>
      <c r="AA384" t="s">
        <v>5804</v>
      </c>
      <c r="AB384" t="s">
        <v>5821</v>
      </c>
      <c r="AC384" t="s">
        <v>6198</v>
      </c>
      <c r="AD384" t="s">
        <v>4280</v>
      </c>
      <c r="AE384" t="s">
        <v>8203</v>
      </c>
      <c r="AF384">
        <v>180</v>
      </c>
      <c r="AG384" t="s">
        <v>9272</v>
      </c>
      <c r="AH384" t="s">
        <v>4280</v>
      </c>
      <c r="AI384">
        <v>3</v>
      </c>
      <c r="AJ384">
        <v>2</v>
      </c>
      <c r="AK384">
        <v>2</v>
      </c>
      <c r="AL384">
        <v>99.59999999999999</v>
      </c>
      <c r="AN384" t="s">
        <v>9294</v>
      </c>
      <c r="AO384" t="s">
        <v>1425</v>
      </c>
      <c r="AP384">
        <v>25000</v>
      </c>
      <c r="AV384">
        <v>0.5</v>
      </c>
      <c r="AW384" t="s">
        <v>54</v>
      </c>
    </row>
    <row r="385" spans="1:49">
      <c r="A385" s="1">
        <f>HYPERLINK("https://cms.ls-nyc.org/matter/dynamic-profile/view/1876620","18-1876620")</f>
        <v>0</v>
      </c>
      <c r="B385" t="s">
        <v>59</v>
      </c>
      <c r="C385" t="s">
        <v>82</v>
      </c>
      <c r="D385" t="s">
        <v>178</v>
      </c>
      <c r="E385" t="s">
        <v>189</v>
      </c>
      <c r="F385" t="s">
        <v>640</v>
      </c>
      <c r="G385" t="s">
        <v>944</v>
      </c>
      <c r="H385" t="s">
        <v>2851</v>
      </c>
      <c r="I385" t="s">
        <v>3985</v>
      </c>
      <c r="J385" t="s">
        <v>4223</v>
      </c>
      <c r="K385">
        <v>11423</v>
      </c>
      <c r="L385" t="s">
        <v>4275</v>
      </c>
      <c r="M385" t="s">
        <v>4275</v>
      </c>
      <c r="O385" t="s">
        <v>4282</v>
      </c>
      <c r="P385" t="s">
        <v>4659</v>
      </c>
      <c r="Q385" t="s">
        <v>5731</v>
      </c>
      <c r="R385" t="s">
        <v>5753</v>
      </c>
      <c r="S385" t="s">
        <v>5759</v>
      </c>
      <c r="T385" t="s">
        <v>4276</v>
      </c>
      <c r="V385" t="s">
        <v>5767</v>
      </c>
      <c r="W385" t="s">
        <v>5774</v>
      </c>
      <c r="X385" t="s">
        <v>178</v>
      </c>
      <c r="Y385">
        <v>1600</v>
      </c>
      <c r="Z385" t="s">
        <v>5803</v>
      </c>
      <c r="AA385" t="s">
        <v>5804</v>
      </c>
      <c r="AB385" t="s">
        <v>5821</v>
      </c>
      <c r="AC385" t="s">
        <v>6199</v>
      </c>
      <c r="AE385" t="s">
        <v>8204</v>
      </c>
      <c r="AF385">
        <v>2</v>
      </c>
      <c r="AG385" t="s">
        <v>9270</v>
      </c>
      <c r="AH385" t="s">
        <v>4280</v>
      </c>
      <c r="AI385">
        <v>3</v>
      </c>
      <c r="AJ385">
        <v>2</v>
      </c>
      <c r="AK385">
        <v>2</v>
      </c>
      <c r="AL385">
        <v>99.59999999999999</v>
      </c>
      <c r="AO385" t="s">
        <v>1425</v>
      </c>
      <c r="AP385">
        <v>25000</v>
      </c>
      <c r="AV385">
        <v>0.5</v>
      </c>
      <c r="AW385" t="s">
        <v>73</v>
      </c>
    </row>
    <row r="386" spans="1:49">
      <c r="A386" s="1">
        <f>HYPERLINK("https://cms.ls-nyc.org/matter/dynamic-profile/view/1882011","18-1882011")</f>
        <v>0</v>
      </c>
      <c r="B386" t="s">
        <v>59</v>
      </c>
      <c r="C386" t="s">
        <v>82</v>
      </c>
      <c r="D386" t="s">
        <v>201</v>
      </c>
      <c r="E386" t="s">
        <v>217</v>
      </c>
      <c r="F386" t="s">
        <v>610</v>
      </c>
      <c r="G386" t="s">
        <v>1707</v>
      </c>
      <c r="H386" t="s">
        <v>2852</v>
      </c>
      <c r="I386" t="s">
        <v>3931</v>
      </c>
      <c r="J386" t="s">
        <v>4222</v>
      </c>
      <c r="K386">
        <v>11434</v>
      </c>
      <c r="L386" t="s">
        <v>4275</v>
      </c>
      <c r="M386" t="s">
        <v>4275</v>
      </c>
      <c r="N386" t="s">
        <v>4278</v>
      </c>
      <c r="O386" t="s">
        <v>4281</v>
      </c>
      <c r="P386" t="s">
        <v>4660</v>
      </c>
      <c r="Q386" t="s">
        <v>5732</v>
      </c>
      <c r="R386" t="s">
        <v>5751</v>
      </c>
      <c r="S386" t="s">
        <v>5758</v>
      </c>
      <c r="T386" t="s">
        <v>4276</v>
      </c>
      <c r="V386" t="s">
        <v>5767</v>
      </c>
      <c r="W386" t="s">
        <v>5772</v>
      </c>
      <c r="X386" t="s">
        <v>201</v>
      </c>
      <c r="Y386">
        <v>1213</v>
      </c>
      <c r="Z386" t="s">
        <v>5803</v>
      </c>
      <c r="AA386" t="s">
        <v>5804</v>
      </c>
      <c r="AB386" t="s">
        <v>5822</v>
      </c>
      <c r="AC386" t="s">
        <v>6200</v>
      </c>
      <c r="AD386" t="s">
        <v>7451</v>
      </c>
      <c r="AE386" t="s">
        <v>8205</v>
      </c>
      <c r="AF386">
        <v>2</v>
      </c>
      <c r="AG386" t="s">
        <v>9269</v>
      </c>
      <c r="AH386" t="s">
        <v>9284</v>
      </c>
      <c r="AI386">
        <v>2</v>
      </c>
      <c r="AJ386">
        <v>1</v>
      </c>
      <c r="AK386">
        <v>0</v>
      </c>
      <c r="AL386">
        <v>105.16</v>
      </c>
      <c r="AO386" t="s">
        <v>1425</v>
      </c>
      <c r="AP386">
        <v>12766</v>
      </c>
      <c r="AR386" t="s">
        <v>9328</v>
      </c>
      <c r="AS386" t="s">
        <v>5806</v>
      </c>
      <c r="AT386" t="s">
        <v>9372</v>
      </c>
      <c r="AU386" t="s">
        <v>9460</v>
      </c>
      <c r="AV386">
        <v>25.2</v>
      </c>
      <c r="AW386" t="s">
        <v>54</v>
      </c>
    </row>
    <row r="387" spans="1:49">
      <c r="A387" s="1">
        <f>HYPERLINK("https://cms.ls-nyc.org/matter/dynamic-profile/view/1886641","18-1886641")</f>
        <v>0</v>
      </c>
      <c r="B387" t="s">
        <v>59</v>
      </c>
      <c r="C387" t="s">
        <v>83</v>
      </c>
      <c r="D387" t="s">
        <v>207</v>
      </c>
      <c r="F387" t="s">
        <v>443</v>
      </c>
      <c r="G387" t="s">
        <v>1708</v>
      </c>
      <c r="H387" t="s">
        <v>2569</v>
      </c>
      <c r="J387" t="s">
        <v>4222</v>
      </c>
      <c r="K387">
        <v>11433</v>
      </c>
      <c r="L387" t="s">
        <v>4275</v>
      </c>
      <c r="M387" t="s">
        <v>4275</v>
      </c>
      <c r="O387" t="s">
        <v>4282</v>
      </c>
      <c r="P387" t="s">
        <v>4661</v>
      </c>
      <c r="Q387" t="s">
        <v>5731</v>
      </c>
      <c r="R387" t="s">
        <v>5752</v>
      </c>
      <c r="T387" t="s">
        <v>4276</v>
      </c>
      <c r="V387" t="s">
        <v>5767</v>
      </c>
      <c r="Y387">
        <v>973</v>
      </c>
      <c r="Z387" t="s">
        <v>5803</v>
      </c>
      <c r="AA387" t="s">
        <v>5805</v>
      </c>
      <c r="AC387" t="s">
        <v>6201</v>
      </c>
      <c r="AE387" t="s">
        <v>8206</v>
      </c>
      <c r="AF387">
        <v>0</v>
      </c>
      <c r="AI387">
        <v>0</v>
      </c>
      <c r="AJ387">
        <v>1</v>
      </c>
      <c r="AK387">
        <v>0</v>
      </c>
      <c r="AL387">
        <v>106.26</v>
      </c>
      <c r="AO387" t="s">
        <v>1425</v>
      </c>
      <c r="AP387">
        <v>12900</v>
      </c>
      <c r="AV387">
        <v>11.8</v>
      </c>
      <c r="AW387" t="s">
        <v>54</v>
      </c>
    </row>
    <row r="388" spans="1:49">
      <c r="A388" s="1">
        <f>HYPERLINK("https://cms.ls-nyc.org/matter/dynamic-profile/view/1877587","18-1877587")</f>
        <v>0</v>
      </c>
      <c r="B388" t="s">
        <v>59</v>
      </c>
      <c r="C388" t="s">
        <v>82</v>
      </c>
      <c r="D388" t="s">
        <v>180</v>
      </c>
      <c r="E388" t="s">
        <v>207</v>
      </c>
      <c r="F388" t="s">
        <v>641</v>
      </c>
      <c r="G388" t="s">
        <v>1709</v>
      </c>
      <c r="H388" t="s">
        <v>2853</v>
      </c>
      <c r="I388" t="s">
        <v>3900</v>
      </c>
      <c r="J388" t="s">
        <v>4229</v>
      </c>
      <c r="K388">
        <v>11358</v>
      </c>
      <c r="L388" t="s">
        <v>4275</v>
      </c>
      <c r="M388" t="s">
        <v>4275</v>
      </c>
      <c r="O388" t="s">
        <v>4283</v>
      </c>
      <c r="P388" t="s">
        <v>4662</v>
      </c>
      <c r="Q388" t="s">
        <v>5732</v>
      </c>
      <c r="R388" t="s">
        <v>5753</v>
      </c>
      <c r="S388" t="s">
        <v>5759</v>
      </c>
      <c r="T388" t="s">
        <v>4276</v>
      </c>
      <c r="V388" t="s">
        <v>5767</v>
      </c>
      <c r="W388" t="s">
        <v>5772</v>
      </c>
      <c r="X388" t="s">
        <v>242</v>
      </c>
      <c r="Y388">
        <v>1102</v>
      </c>
      <c r="Z388" t="s">
        <v>5803</v>
      </c>
      <c r="AA388" t="s">
        <v>5804</v>
      </c>
      <c r="AB388" t="s">
        <v>5821</v>
      </c>
      <c r="AC388" t="s">
        <v>6202</v>
      </c>
      <c r="AD388" t="s">
        <v>7452</v>
      </c>
      <c r="AE388" t="s">
        <v>8207</v>
      </c>
      <c r="AF388">
        <v>16</v>
      </c>
      <c r="AG388" t="s">
        <v>9272</v>
      </c>
      <c r="AH388" t="s">
        <v>4280</v>
      </c>
      <c r="AI388">
        <v>7</v>
      </c>
      <c r="AJ388">
        <v>2</v>
      </c>
      <c r="AK388">
        <v>0</v>
      </c>
      <c r="AL388">
        <v>106.44</v>
      </c>
      <c r="AO388" t="s">
        <v>1425</v>
      </c>
      <c r="AP388">
        <v>17520</v>
      </c>
      <c r="AV388">
        <v>0.8</v>
      </c>
      <c r="AW388" t="s">
        <v>73</v>
      </c>
    </row>
    <row r="389" spans="1:49">
      <c r="A389" s="1">
        <f>HYPERLINK("https://cms.ls-nyc.org/matter/dynamic-profile/view/1884883","18-1884883")</f>
        <v>0</v>
      </c>
      <c r="B389" t="s">
        <v>59</v>
      </c>
      <c r="C389" t="s">
        <v>82</v>
      </c>
      <c r="D389" t="s">
        <v>108</v>
      </c>
      <c r="E389" t="s">
        <v>217</v>
      </c>
      <c r="F389" t="s">
        <v>337</v>
      </c>
      <c r="G389" t="s">
        <v>1607</v>
      </c>
      <c r="H389" t="s">
        <v>2854</v>
      </c>
      <c r="I389" t="s">
        <v>3849</v>
      </c>
      <c r="J389" t="s">
        <v>4222</v>
      </c>
      <c r="K389">
        <v>11434</v>
      </c>
      <c r="L389" t="s">
        <v>4275</v>
      </c>
      <c r="M389" t="s">
        <v>4277</v>
      </c>
      <c r="N389" t="s">
        <v>4278</v>
      </c>
      <c r="O389" t="s">
        <v>4281</v>
      </c>
      <c r="P389" t="s">
        <v>4663</v>
      </c>
      <c r="Q389" t="s">
        <v>5732</v>
      </c>
      <c r="R389" t="s">
        <v>5751</v>
      </c>
      <c r="S389" t="s">
        <v>5758</v>
      </c>
      <c r="T389" t="s">
        <v>4276</v>
      </c>
      <c r="V389" t="s">
        <v>5767</v>
      </c>
      <c r="W389" t="s">
        <v>5774</v>
      </c>
      <c r="X389" t="s">
        <v>166</v>
      </c>
      <c r="Y389">
        <v>1100</v>
      </c>
      <c r="Z389" t="s">
        <v>5803</v>
      </c>
      <c r="AA389" t="s">
        <v>5805</v>
      </c>
      <c r="AB389" t="s">
        <v>5822</v>
      </c>
      <c r="AC389" t="s">
        <v>6203</v>
      </c>
      <c r="AE389" t="s">
        <v>8208</v>
      </c>
      <c r="AF389">
        <v>2</v>
      </c>
      <c r="AG389" t="s">
        <v>9269</v>
      </c>
      <c r="AH389" t="s">
        <v>4280</v>
      </c>
      <c r="AI389">
        <v>4</v>
      </c>
      <c r="AJ389">
        <v>2</v>
      </c>
      <c r="AK389">
        <v>4</v>
      </c>
      <c r="AL389">
        <v>109.66</v>
      </c>
      <c r="AO389" t="s">
        <v>1425</v>
      </c>
      <c r="AP389">
        <v>37000</v>
      </c>
      <c r="AR389" t="s">
        <v>9333</v>
      </c>
      <c r="AS389" t="s">
        <v>5806</v>
      </c>
      <c r="AT389" t="s">
        <v>9370</v>
      </c>
      <c r="AU389" t="s">
        <v>9461</v>
      </c>
      <c r="AV389">
        <v>11.6</v>
      </c>
      <c r="AW389" t="s">
        <v>60</v>
      </c>
    </row>
    <row r="390" spans="1:49">
      <c r="A390" s="1">
        <f>HYPERLINK("https://cms.ls-nyc.org/matter/dynamic-profile/view/1882075","18-1882075")</f>
        <v>0</v>
      </c>
      <c r="B390" t="s">
        <v>59</v>
      </c>
      <c r="C390" t="s">
        <v>82</v>
      </c>
      <c r="D390" t="s">
        <v>201</v>
      </c>
      <c r="E390" t="s">
        <v>282</v>
      </c>
      <c r="F390" t="s">
        <v>370</v>
      </c>
      <c r="G390" t="s">
        <v>1450</v>
      </c>
      <c r="H390" t="s">
        <v>2855</v>
      </c>
      <c r="I390" t="s">
        <v>3863</v>
      </c>
      <c r="J390" t="s">
        <v>4227</v>
      </c>
      <c r="K390">
        <v>11365</v>
      </c>
      <c r="L390" t="s">
        <v>4275</v>
      </c>
      <c r="M390" t="s">
        <v>4275</v>
      </c>
      <c r="O390" t="s">
        <v>4282</v>
      </c>
      <c r="P390" t="s">
        <v>4664</v>
      </c>
      <c r="Q390" t="s">
        <v>5740</v>
      </c>
      <c r="R390" t="s">
        <v>5753</v>
      </c>
      <c r="S390" t="s">
        <v>5759</v>
      </c>
      <c r="T390" t="s">
        <v>4276</v>
      </c>
      <c r="V390" t="s">
        <v>5767</v>
      </c>
      <c r="W390" t="s">
        <v>5772</v>
      </c>
      <c r="X390" t="s">
        <v>201</v>
      </c>
      <c r="Y390">
        <v>450</v>
      </c>
      <c r="Z390" t="s">
        <v>5803</v>
      </c>
      <c r="AA390" t="s">
        <v>5804</v>
      </c>
      <c r="AB390" t="s">
        <v>5821</v>
      </c>
      <c r="AC390" t="s">
        <v>6204</v>
      </c>
      <c r="AD390" t="s">
        <v>7453</v>
      </c>
      <c r="AE390" t="s">
        <v>8209</v>
      </c>
      <c r="AF390">
        <v>42</v>
      </c>
      <c r="AG390" t="s">
        <v>9271</v>
      </c>
      <c r="AH390" t="s">
        <v>4280</v>
      </c>
      <c r="AI390">
        <v>22</v>
      </c>
      <c r="AJ390">
        <v>2</v>
      </c>
      <c r="AK390">
        <v>0</v>
      </c>
      <c r="AL390">
        <v>112.86</v>
      </c>
      <c r="AO390" t="s">
        <v>1425</v>
      </c>
      <c r="AP390">
        <v>18576</v>
      </c>
      <c r="AV390">
        <v>0.6</v>
      </c>
      <c r="AW390" t="s">
        <v>73</v>
      </c>
    </row>
    <row r="391" spans="1:49">
      <c r="A391" s="1">
        <f>HYPERLINK("https://cms.ls-nyc.org/matter/dynamic-profile/view/1876325","18-1876325")</f>
        <v>0</v>
      </c>
      <c r="B391" t="s">
        <v>59</v>
      </c>
      <c r="C391" t="s">
        <v>83</v>
      </c>
      <c r="D391" t="s">
        <v>194</v>
      </c>
      <c r="F391" t="s">
        <v>642</v>
      </c>
      <c r="G391" t="s">
        <v>1710</v>
      </c>
      <c r="H391" t="s">
        <v>2856</v>
      </c>
      <c r="I391" t="s">
        <v>3892</v>
      </c>
      <c r="J391" t="s">
        <v>4234</v>
      </c>
      <c r="K391">
        <v>11103</v>
      </c>
      <c r="L391" t="s">
        <v>4275</v>
      </c>
      <c r="M391" t="s">
        <v>4275</v>
      </c>
      <c r="O391" t="s">
        <v>4282</v>
      </c>
      <c r="P391" t="s">
        <v>4665</v>
      </c>
      <c r="Q391" t="s">
        <v>5741</v>
      </c>
      <c r="R391" t="s">
        <v>5751</v>
      </c>
      <c r="T391" t="s">
        <v>4276</v>
      </c>
      <c r="V391" t="s">
        <v>5767</v>
      </c>
      <c r="W391" t="s">
        <v>5772</v>
      </c>
      <c r="X391" t="s">
        <v>194</v>
      </c>
      <c r="Y391">
        <v>800</v>
      </c>
      <c r="Z391" t="s">
        <v>5803</v>
      </c>
      <c r="AA391" t="s">
        <v>5804</v>
      </c>
      <c r="AC391" t="s">
        <v>6205</v>
      </c>
      <c r="AD391" t="s">
        <v>4280</v>
      </c>
      <c r="AE391" t="s">
        <v>8210</v>
      </c>
      <c r="AF391">
        <v>75</v>
      </c>
      <c r="AG391" t="s">
        <v>9272</v>
      </c>
      <c r="AH391" t="s">
        <v>4280</v>
      </c>
      <c r="AI391">
        <v>35</v>
      </c>
      <c r="AJ391">
        <v>1</v>
      </c>
      <c r="AK391">
        <v>0</v>
      </c>
      <c r="AL391">
        <v>113.28</v>
      </c>
      <c r="AO391" t="s">
        <v>1425</v>
      </c>
      <c r="AP391">
        <v>13752</v>
      </c>
      <c r="AV391">
        <v>34.85</v>
      </c>
      <c r="AW391" t="s">
        <v>73</v>
      </c>
    </row>
    <row r="392" spans="1:49">
      <c r="A392" s="1">
        <f>HYPERLINK("https://cms.ls-nyc.org/matter/dynamic-profile/view/1888649","19-1888649")</f>
        <v>0</v>
      </c>
      <c r="B392" t="s">
        <v>59</v>
      </c>
      <c r="C392" t="s">
        <v>83</v>
      </c>
      <c r="D392" t="s">
        <v>125</v>
      </c>
      <c r="F392" t="s">
        <v>340</v>
      </c>
      <c r="G392" t="s">
        <v>1711</v>
      </c>
      <c r="H392" t="s">
        <v>2857</v>
      </c>
      <c r="I392" t="s">
        <v>3994</v>
      </c>
      <c r="J392" t="s">
        <v>4222</v>
      </c>
      <c r="K392">
        <v>11434</v>
      </c>
      <c r="L392" t="s">
        <v>4275</v>
      </c>
      <c r="M392" t="s">
        <v>4275</v>
      </c>
      <c r="O392" t="s">
        <v>4281</v>
      </c>
      <c r="P392" t="s">
        <v>4666</v>
      </c>
      <c r="Q392" t="s">
        <v>5731</v>
      </c>
      <c r="R392" t="s">
        <v>5751</v>
      </c>
      <c r="T392" t="s">
        <v>4276</v>
      </c>
      <c r="V392" t="s">
        <v>5767</v>
      </c>
      <c r="W392" t="s">
        <v>5772</v>
      </c>
      <c r="X392" t="s">
        <v>125</v>
      </c>
      <c r="Y392">
        <v>741.6799999999999</v>
      </c>
      <c r="Z392" t="s">
        <v>5803</v>
      </c>
      <c r="AA392" t="s">
        <v>5805</v>
      </c>
      <c r="AC392" t="s">
        <v>6206</v>
      </c>
      <c r="AE392" t="s">
        <v>8211</v>
      </c>
      <c r="AF392">
        <v>5860</v>
      </c>
      <c r="AG392" t="s">
        <v>9273</v>
      </c>
      <c r="AH392" t="s">
        <v>4280</v>
      </c>
      <c r="AI392">
        <v>6</v>
      </c>
      <c r="AJ392">
        <v>1</v>
      </c>
      <c r="AK392">
        <v>0</v>
      </c>
      <c r="AL392">
        <v>115.29</v>
      </c>
      <c r="AO392" t="s">
        <v>1425</v>
      </c>
      <c r="AP392">
        <v>14400</v>
      </c>
      <c r="AV392">
        <v>9.1</v>
      </c>
      <c r="AW392" t="s">
        <v>54</v>
      </c>
    </row>
    <row r="393" spans="1:49">
      <c r="A393" s="1">
        <f>HYPERLINK("https://cms.ls-nyc.org/matter/dynamic-profile/view/1896151","19-1896151")</f>
        <v>0</v>
      </c>
      <c r="B393" t="s">
        <v>59</v>
      </c>
      <c r="C393" t="s">
        <v>83</v>
      </c>
      <c r="D393" t="s">
        <v>132</v>
      </c>
      <c r="F393" t="s">
        <v>643</v>
      </c>
      <c r="G393" t="s">
        <v>1712</v>
      </c>
      <c r="H393" t="s">
        <v>2858</v>
      </c>
      <c r="I393">
        <v>1</v>
      </c>
      <c r="J393" t="s">
        <v>4222</v>
      </c>
      <c r="K393">
        <v>11434</v>
      </c>
      <c r="L393" t="s">
        <v>4275</v>
      </c>
      <c r="M393" t="s">
        <v>4275</v>
      </c>
      <c r="O393" t="s">
        <v>4281</v>
      </c>
      <c r="P393" t="s">
        <v>4667</v>
      </c>
      <c r="Q393" t="s">
        <v>5732</v>
      </c>
      <c r="R393" t="s">
        <v>5752</v>
      </c>
      <c r="T393" t="s">
        <v>4276</v>
      </c>
      <c r="V393" t="s">
        <v>5767</v>
      </c>
      <c r="X393" t="s">
        <v>132</v>
      </c>
      <c r="Y393">
        <v>800</v>
      </c>
      <c r="Z393" t="s">
        <v>5803</v>
      </c>
      <c r="AA393" t="s">
        <v>5805</v>
      </c>
      <c r="AC393" t="s">
        <v>6207</v>
      </c>
      <c r="AE393" t="s">
        <v>8212</v>
      </c>
      <c r="AF393">
        <v>0</v>
      </c>
      <c r="AG393" t="s">
        <v>9270</v>
      </c>
      <c r="AH393" t="s">
        <v>9284</v>
      </c>
      <c r="AI393">
        <v>3</v>
      </c>
      <c r="AJ393">
        <v>1</v>
      </c>
      <c r="AK393">
        <v>0</v>
      </c>
      <c r="AL393">
        <v>115.87</v>
      </c>
      <c r="AO393" t="s">
        <v>1425</v>
      </c>
      <c r="AP393">
        <v>14472</v>
      </c>
      <c r="AV393">
        <v>11.4</v>
      </c>
      <c r="AW393" t="s">
        <v>54</v>
      </c>
    </row>
    <row r="394" spans="1:49">
      <c r="A394" s="1">
        <f>HYPERLINK("https://cms.ls-nyc.org/matter/dynamic-profile/view/1878298","18-1878298")</f>
        <v>0</v>
      </c>
      <c r="B394" t="s">
        <v>59</v>
      </c>
      <c r="C394" t="s">
        <v>82</v>
      </c>
      <c r="D394" t="s">
        <v>137</v>
      </c>
      <c r="E394" t="s">
        <v>168</v>
      </c>
      <c r="F394" t="s">
        <v>644</v>
      </c>
      <c r="G394" t="s">
        <v>1713</v>
      </c>
      <c r="H394" t="s">
        <v>2859</v>
      </c>
      <c r="I394">
        <v>3</v>
      </c>
      <c r="J394" t="s">
        <v>4240</v>
      </c>
      <c r="K394">
        <v>11373</v>
      </c>
      <c r="L394" t="s">
        <v>4275</v>
      </c>
      <c r="M394" t="s">
        <v>4275</v>
      </c>
      <c r="O394" t="s">
        <v>4281</v>
      </c>
      <c r="P394" t="s">
        <v>4668</v>
      </c>
      <c r="Q394" t="s">
        <v>5732</v>
      </c>
      <c r="R394" t="s">
        <v>5751</v>
      </c>
      <c r="S394" t="s">
        <v>5758</v>
      </c>
      <c r="T394" t="s">
        <v>4276</v>
      </c>
      <c r="V394" t="s">
        <v>5767</v>
      </c>
      <c r="W394" t="s">
        <v>5772</v>
      </c>
      <c r="X394" t="s">
        <v>188</v>
      </c>
      <c r="Y394">
        <v>1800</v>
      </c>
      <c r="Z394" t="s">
        <v>5803</v>
      </c>
      <c r="AA394" t="s">
        <v>5805</v>
      </c>
      <c r="AB394" t="s">
        <v>5822</v>
      </c>
      <c r="AC394" t="s">
        <v>6208</v>
      </c>
      <c r="AD394" t="s">
        <v>4700</v>
      </c>
      <c r="AE394" t="s">
        <v>8213</v>
      </c>
      <c r="AF394">
        <v>3</v>
      </c>
      <c r="AG394" t="s">
        <v>9269</v>
      </c>
      <c r="AH394" t="s">
        <v>4280</v>
      </c>
      <c r="AI394">
        <v>13</v>
      </c>
      <c r="AJ394">
        <v>2</v>
      </c>
      <c r="AK394">
        <v>0</v>
      </c>
      <c r="AL394">
        <v>116.65</v>
      </c>
      <c r="AO394" t="s">
        <v>9298</v>
      </c>
      <c r="AP394">
        <v>19200</v>
      </c>
      <c r="AR394" t="s">
        <v>9327</v>
      </c>
      <c r="AS394" t="s">
        <v>5806</v>
      </c>
      <c r="AT394" t="s">
        <v>9370</v>
      </c>
      <c r="AU394" t="s">
        <v>9451</v>
      </c>
      <c r="AV394">
        <v>1.3</v>
      </c>
      <c r="AW394" t="s">
        <v>73</v>
      </c>
    </row>
    <row r="395" spans="1:49">
      <c r="A395" s="1">
        <f>HYPERLINK("https://cms.ls-nyc.org/matter/dynamic-profile/view/1876378","18-1876378")</f>
        <v>0</v>
      </c>
      <c r="B395" t="s">
        <v>59</v>
      </c>
      <c r="C395" t="s">
        <v>83</v>
      </c>
      <c r="D395" t="s">
        <v>194</v>
      </c>
      <c r="F395" t="s">
        <v>494</v>
      </c>
      <c r="G395" t="s">
        <v>1714</v>
      </c>
      <c r="H395" t="s">
        <v>2860</v>
      </c>
      <c r="J395" t="s">
        <v>4240</v>
      </c>
      <c r="K395">
        <v>11373</v>
      </c>
      <c r="L395" t="s">
        <v>4275</v>
      </c>
      <c r="M395" t="s">
        <v>4275</v>
      </c>
      <c r="O395" t="s">
        <v>4281</v>
      </c>
      <c r="P395" t="s">
        <v>4669</v>
      </c>
      <c r="Q395" t="s">
        <v>5731</v>
      </c>
      <c r="R395" t="s">
        <v>5751</v>
      </c>
      <c r="T395" t="s">
        <v>4276</v>
      </c>
      <c r="V395" t="s">
        <v>5767</v>
      </c>
      <c r="W395" t="s">
        <v>5772</v>
      </c>
      <c r="X395" t="s">
        <v>194</v>
      </c>
      <c r="Y395">
        <v>1850</v>
      </c>
      <c r="Z395" t="s">
        <v>5803</v>
      </c>
      <c r="AA395" t="s">
        <v>5806</v>
      </c>
      <c r="AC395" t="s">
        <v>6209</v>
      </c>
      <c r="AD395" t="s">
        <v>4280</v>
      </c>
      <c r="AE395" t="s">
        <v>8214</v>
      </c>
      <c r="AF395">
        <v>164</v>
      </c>
      <c r="AG395" t="s">
        <v>9272</v>
      </c>
      <c r="AH395" t="s">
        <v>4280</v>
      </c>
      <c r="AI395">
        <v>1</v>
      </c>
      <c r="AJ395">
        <v>2</v>
      </c>
      <c r="AK395">
        <v>0</v>
      </c>
      <c r="AL395">
        <v>116.65</v>
      </c>
      <c r="AO395" t="s">
        <v>1425</v>
      </c>
      <c r="AP395">
        <v>19200</v>
      </c>
      <c r="AR395" t="s">
        <v>9326</v>
      </c>
      <c r="AS395" t="s">
        <v>9341</v>
      </c>
      <c r="AT395" t="s">
        <v>9369</v>
      </c>
      <c r="AU395" t="s">
        <v>9407</v>
      </c>
      <c r="AV395">
        <v>21</v>
      </c>
      <c r="AW395" t="s">
        <v>73</v>
      </c>
    </row>
    <row r="396" spans="1:49">
      <c r="A396" s="1">
        <f>HYPERLINK("https://cms.ls-nyc.org/matter/dynamic-profile/view/1900806","19-1900806")</f>
        <v>0</v>
      </c>
      <c r="B396" t="s">
        <v>59</v>
      </c>
      <c r="C396" t="s">
        <v>83</v>
      </c>
      <c r="D396" t="s">
        <v>166</v>
      </c>
      <c r="F396" t="s">
        <v>645</v>
      </c>
      <c r="G396" t="s">
        <v>1715</v>
      </c>
      <c r="H396" t="s">
        <v>2861</v>
      </c>
      <c r="J396" t="s">
        <v>4222</v>
      </c>
      <c r="K396">
        <v>11433</v>
      </c>
      <c r="L396" t="s">
        <v>4275</v>
      </c>
      <c r="M396" t="s">
        <v>4277</v>
      </c>
      <c r="N396" t="s">
        <v>4278</v>
      </c>
      <c r="O396" t="s">
        <v>4281</v>
      </c>
      <c r="P396" t="s">
        <v>4670</v>
      </c>
      <c r="Q396" t="s">
        <v>5732</v>
      </c>
      <c r="R396" t="s">
        <v>5751</v>
      </c>
      <c r="T396" t="s">
        <v>4276</v>
      </c>
      <c r="V396" t="s">
        <v>5767</v>
      </c>
      <c r="X396" t="s">
        <v>166</v>
      </c>
      <c r="Y396">
        <v>0</v>
      </c>
      <c r="Z396" t="s">
        <v>5803</v>
      </c>
      <c r="AA396" t="s">
        <v>5805</v>
      </c>
      <c r="AC396" t="s">
        <v>6210</v>
      </c>
      <c r="AE396" t="s">
        <v>8215</v>
      </c>
      <c r="AF396">
        <v>1</v>
      </c>
      <c r="AG396" t="s">
        <v>9270</v>
      </c>
      <c r="AH396" t="s">
        <v>4280</v>
      </c>
      <c r="AI396">
        <v>8</v>
      </c>
      <c r="AJ396">
        <v>1</v>
      </c>
      <c r="AK396">
        <v>2</v>
      </c>
      <c r="AL396">
        <v>117.21</v>
      </c>
      <c r="AO396" t="s">
        <v>1425</v>
      </c>
      <c r="AP396">
        <v>25000</v>
      </c>
      <c r="AV396">
        <v>8.6</v>
      </c>
      <c r="AW396" t="s">
        <v>54</v>
      </c>
    </row>
    <row r="397" spans="1:49">
      <c r="A397" s="1">
        <f>HYPERLINK("https://cms.ls-nyc.org/matter/dynamic-profile/view/1900820","19-1900820")</f>
        <v>0</v>
      </c>
      <c r="B397" t="s">
        <v>59</v>
      </c>
      <c r="C397" t="s">
        <v>83</v>
      </c>
      <c r="D397" t="s">
        <v>166</v>
      </c>
      <c r="F397" t="s">
        <v>646</v>
      </c>
      <c r="G397" t="s">
        <v>1716</v>
      </c>
      <c r="H397" t="s">
        <v>2862</v>
      </c>
      <c r="I397" t="s">
        <v>3896</v>
      </c>
      <c r="J397" t="s">
        <v>4222</v>
      </c>
      <c r="K397">
        <v>11433</v>
      </c>
      <c r="L397" t="s">
        <v>4275</v>
      </c>
      <c r="M397" t="s">
        <v>4277</v>
      </c>
      <c r="N397" t="s">
        <v>4278</v>
      </c>
      <c r="O397" t="s">
        <v>4281</v>
      </c>
      <c r="P397" t="s">
        <v>4671</v>
      </c>
      <c r="Q397" t="s">
        <v>5731</v>
      </c>
      <c r="R397" t="s">
        <v>5751</v>
      </c>
      <c r="T397" t="s">
        <v>4276</v>
      </c>
      <c r="V397" t="s">
        <v>5767</v>
      </c>
      <c r="X397" t="s">
        <v>5786</v>
      </c>
      <c r="Y397">
        <v>0</v>
      </c>
      <c r="Z397" t="s">
        <v>5803</v>
      </c>
      <c r="AA397" t="s">
        <v>5805</v>
      </c>
      <c r="AC397" t="s">
        <v>6211</v>
      </c>
      <c r="AE397" t="s">
        <v>8216</v>
      </c>
      <c r="AF397">
        <v>0</v>
      </c>
      <c r="AG397" t="s">
        <v>9270</v>
      </c>
      <c r="AH397" t="s">
        <v>5806</v>
      </c>
      <c r="AI397">
        <v>-1</v>
      </c>
      <c r="AJ397">
        <v>1</v>
      </c>
      <c r="AK397">
        <v>1</v>
      </c>
      <c r="AL397">
        <v>125.61</v>
      </c>
      <c r="AO397" t="s">
        <v>1425</v>
      </c>
      <c r="AP397">
        <v>21240</v>
      </c>
      <c r="AV397">
        <v>5.1</v>
      </c>
      <c r="AW397" t="s">
        <v>54</v>
      </c>
    </row>
    <row r="398" spans="1:49">
      <c r="A398" s="1">
        <f>HYPERLINK("https://cms.ls-nyc.org/matter/dynamic-profile/view/1879921","18-1879921")</f>
        <v>0</v>
      </c>
      <c r="B398" t="s">
        <v>59</v>
      </c>
      <c r="C398" t="s">
        <v>82</v>
      </c>
      <c r="D398" t="s">
        <v>92</v>
      </c>
      <c r="E398" t="s">
        <v>218</v>
      </c>
      <c r="F398" t="s">
        <v>647</v>
      </c>
      <c r="G398" t="s">
        <v>1553</v>
      </c>
      <c r="H398" t="s">
        <v>2863</v>
      </c>
      <c r="I398" t="s">
        <v>3909</v>
      </c>
      <c r="J398" t="s">
        <v>4235</v>
      </c>
      <c r="K398">
        <v>11421</v>
      </c>
      <c r="L398" t="s">
        <v>4275</v>
      </c>
      <c r="M398" t="s">
        <v>4275</v>
      </c>
      <c r="O398" t="s">
        <v>4282</v>
      </c>
      <c r="P398" t="s">
        <v>4672</v>
      </c>
      <c r="Q398" t="s">
        <v>5731</v>
      </c>
      <c r="R398" t="s">
        <v>5751</v>
      </c>
      <c r="S398" t="s">
        <v>5758</v>
      </c>
      <c r="T398" t="s">
        <v>4276</v>
      </c>
      <c r="V398" t="s">
        <v>5767</v>
      </c>
      <c r="W398" t="s">
        <v>5772</v>
      </c>
      <c r="X398" t="s">
        <v>92</v>
      </c>
      <c r="Y398">
        <v>1650</v>
      </c>
      <c r="Z398" t="s">
        <v>5803</v>
      </c>
      <c r="AA398" t="s">
        <v>5804</v>
      </c>
      <c r="AB398" t="s">
        <v>5822</v>
      </c>
      <c r="AC398" t="s">
        <v>6212</v>
      </c>
      <c r="AE398" t="s">
        <v>8217</v>
      </c>
      <c r="AF398">
        <v>2</v>
      </c>
      <c r="AG398" t="s">
        <v>9269</v>
      </c>
      <c r="AH398" t="s">
        <v>4280</v>
      </c>
      <c r="AI398">
        <v>1</v>
      </c>
      <c r="AJ398">
        <v>3</v>
      </c>
      <c r="AK398">
        <v>2</v>
      </c>
      <c r="AL398">
        <v>129.91</v>
      </c>
      <c r="AO398" t="s">
        <v>1425</v>
      </c>
      <c r="AP398">
        <v>38220</v>
      </c>
      <c r="AR398" t="s">
        <v>9327</v>
      </c>
      <c r="AS398" t="s">
        <v>5806</v>
      </c>
      <c r="AT398" t="s">
        <v>9370</v>
      </c>
      <c r="AU398" t="s">
        <v>9421</v>
      </c>
      <c r="AV398">
        <v>13.6</v>
      </c>
      <c r="AW398" t="s">
        <v>73</v>
      </c>
    </row>
    <row r="399" spans="1:49">
      <c r="A399" s="1">
        <f>HYPERLINK("https://cms.ls-nyc.org/matter/dynamic-profile/view/1884782","18-1884782")</f>
        <v>0</v>
      </c>
      <c r="B399" t="s">
        <v>59</v>
      </c>
      <c r="C399" t="s">
        <v>83</v>
      </c>
      <c r="D399" t="s">
        <v>108</v>
      </c>
      <c r="F399" t="s">
        <v>648</v>
      </c>
      <c r="G399" t="s">
        <v>1717</v>
      </c>
      <c r="H399" t="s">
        <v>2864</v>
      </c>
      <c r="I399" t="s">
        <v>3995</v>
      </c>
      <c r="J399" t="s">
        <v>4255</v>
      </c>
      <c r="K399">
        <v>11372</v>
      </c>
      <c r="L399" t="s">
        <v>4275</v>
      </c>
      <c r="M399" t="s">
        <v>4275</v>
      </c>
      <c r="O399" t="s">
        <v>4282</v>
      </c>
      <c r="V399" t="s">
        <v>5767</v>
      </c>
      <c r="Y399">
        <v>1021</v>
      </c>
      <c r="Z399" t="s">
        <v>5803</v>
      </c>
      <c r="AA399" t="s">
        <v>5807</v>
      </c>
      <c r="AC399" t="s">
        <v>6213</v>
      </c>
      <c r="AE399" t="s">
        <v>8218</v>
      </c>
      <c r="AF399">
        <v>220</v>
      </c>
      <c r="AG399" t="s">
        <v>9272</v>
      </c>
      <c r="AH399" t="s">
        <v>9287</v>
      </c>
      <c r="AI399">
        <v>19</v>
      </c>
      <c r="AJ399">
        <v>2</v>
      </c>
      <c r="AK399">
        <v>0</v>
      </c>
      <c r="AL399">
        <v>131.28</v>
      </c>
      <c r="AP399">
        <v>21608</v>
      </c>
      <c r="AV399">
        <v>12.8</v>
      </c>
      <c r="AW399" t="s">
        <v>54</v>
      </c>
    </row>
    <row r="400" spans="1:49">
      <c r="A400" s="1">
        <f>HYPERLINK("https://cms.ls-nyc.org/matter/dynamic-profile/view/1890928","19-1890928")</f>
        <v>0</v>
      </c>
      <c r="B400" t="s">
        <v>59</v>
      </c>
      <c r="C400" t="s">
        <v>83</v>
      </c>
      <c r="D400" t="s">
        <v>98</v>
      </c>
      <c r="F400" t="s">
        <v>649</v>
      </c>
      <c r="G400" t="s">
        <v>1718</v>
      </c>
      <c r="H400" t="s">
        <v>2865</v>
      </c>
      <c r="I400" t="s">
        <v>3929</v>
      </c>
      <c r="J400" t="s">
        <v>4227</v>
      </c>
      <c r="K400">
        <v>11365</v>
      </c>
      <c r="L400" t="s">
        <v>4275</v>
      </c>
      <c r="M400" t="s">
        <v>4275</v>
      </c>
      <c r="O400" t="s">
        <v>4282</v>
      </c>
      <c r="P400" t="s">
        <v>4673</v>
      </c>
      <c r="Q400" t="s">
        <v>5732</v>
      </c>
      <c r="R400" t="s">
        <v>5753</v>
      </c>
      <c r="T400" t="s">
        <v>4276</v>
      </c>
      <c r="V400" t="s">
        <v>5767</v>
      </c>
      <c r="W400" t="s">
        <v>5772</v>
      </c>
      <c r="X400" t="s">
        <v>98</v>
      </c>
      <c r="Y400">
        <v>2200</v>
      </c>
      <c r="Z400" t="s">
        <v>5803</v>
      </c>
      <c r="AA400" t="s">
        <v>5804</v>
      </c>
      <c r="AC400" t="s">
        <v>6214</v>
      </c>
      <c r="AE400" t="s">
        <v>8219</v>
      </c>
      <c r="AF400">
        <v>0</v>
      </c>
      <c r="AG400" t="s">
        <v>9270</v>
      </c>
      <c r="AH400" t="s">
        <v>4280</v>
      </c>
      <c r="AI400">
        <v>4</v>
      </c>
      <c r="AJ400">
        <v>2</v>
      </c>
      <c r="AK400">
        <v>1</v>
      </c>
      <c r="AL400">
        <v>132.67</v>
      </c>
      <c r="AO400" t="s">
        <v>1425</v>
      </c>
      <c r="AP400">
        <v>28298</v>
      </c>
      <c r="AV400">
        <v>1</v>
      </c>
      <c r="AW400" t="s">
        <v>54</v>
      </c>
    </row>
    <row r="401" spans="1:49">
      <c r="A401" s="1">
        <f>HYPERLINK("https://cms.ls-nyc.org/matter/dynamic-profile/view/1899277","19-1899277")</f>
        <v>0</v>
      </c>
      <c r="B401" t="s">
        <v>59</v>
      </c>
      <c r="C401" t="s">
        <v>83</v>
      </c>
      <c r="D401" t="s">
        <v>161</v>
      </c>
      <c r="F401" t="s">
        <v>585</v>
      </c>
      <c r="G401" t="s">
        <v>1719</v>
      </c>
      <c r="H401" t="s">
        <v>2866</v>
      </c>
      <c r="I401" t="s">
        <v>3930</v>
      </c>
      <c r="J401" t="s">
        <v>4264</v>
      </c>
      <c r="K401">
        <v>11433</v>
      </c>
      <c r="L401" t="s">
        <v>4275</v>
      </c>
      <c r="M401" t="s">
        <v>4277</v>
      </c>
      <c r="N401" t="s">
        <v>4278</v>
      </c>
      <c r="O401" t="s">
        <v>4281</v>
      </c>
      <c r="P401" t="s">
        <v>4674</v>
      </c>
      <c r="Q401" t="s">
        <v>5732</v>
      </c>
      <c r="R401" t="s">
        <v>5751</v>
      </c>
      <c r="T401" t="s">
        <v>4276</v>
      </c>
      <c r="V401" t="s">
        <v>5767</v>
      </c>
      <c r="X401" t="s">
        <v>161</v>
      </c>
      <c r="Y401">
        <v>1600</v>
      </c>
      <c r="Z401" t="s">
        <v>5803</v>
      </c>
      <c r="AA401" t="s">
        <v>5804</v>
      </c>
      <c r="AC401" t="s">
        <v>6215</v>
      </c>
      <c r="AD401" t="s">
        <v>7454</v>
      </c>
      <c r="AE401" t="s">
        <v>8220</v>
      </c>
      <c r="AF401">
        <v>460</v>
      </c>
      <c r="AG401" t="s">
        <v>9269</v>
      </c>
      <c r="AH401" t="s">
        <v>9282</v>
      </c>
      <c r="AI401">
        <v>8</v>
      </c>
      <c r="AJ401">
        <v>2</v>
      </c>
      <c r="AK401">
        <v>1</v>
      </c>
      <c r="AL401">
        <v>133.46</v>
      </c>
      <c r="AO401" t="s">
        <v>1425</v>
      </c>
      <c r="AP401">
        <v>28468</v>
      </c>
      <c r="AR401" t="s">
        <v>9328</v>
      </c>
      <c r="AT401" t="s">
        <v>9369</v>
      </c>
      <c r="AU401" t="s">
        <v>9456</v>
      </c>
      <c r="AV401">
        <v>7.9</v>
      </c>
      <c r="AW401" t="s">
        <v>74</v>
      </c>
    </row>
    <row r="402" spans="1:49">
      <c r="A402" s="1">
        <f>HYPERLINK("https://cms.ls-nyc.org/matter/dynamic-profile/view/1886718","18-1886718")</f>
        <v>0</v>
      </c>
      <c r="B402" t="s">
        <v>59</v>
      </c>
      <c r="C402" t="s">
        <v>82</v>
      </c>
      <c r="D402" t="s">
        <v>207</v>
      </c>
      <c r="E402" t="s">
        <v>98</v>
      </c>
      <c r="F402" t="s">
        <v>567</v>
      </c>
      <c r="G402" t="s">
        <v>1630</v>
      </c>
      <c r="H402" t="s">
        <v>2769</v>
      </c>
      <c r="J402" t="s">
        <v>4222</v>
      </c>
      <c r="K402">
        <v>11434</v>
      </c>
      <c r="L402" t="s">
        <v>4275</v>
      </c>
      <c r="M402" t="s">
        <v>4275</v>
      </c>
      <c r="O402" t="s">
        <v>4281</v>
      </c>
      <c r="P402" t="s">
        <v>4675</v>
      </c>
      <c r="Q402" t="s">
        <v>5732</v>
      </c>
      <c r="R402" t="s">
        <v>5753</v>
      </c>
      <c r="S402" t="s">
        <v>5759</v>
      </c>
      <c r="T402" t="s">
        <v>4275</v>
      </c>
      <c r="V402" t="s">
        <v>5767</v>
      </c>
      <c r="W402" t="s">
        <v>5772</v>
      </c>
      <c r="X402" t="s">
        <v>88</v>
      </c>
      <c r="Y402">
        <v>1200</v>
      </c>
      <c r="Z402" t="s">
        <v>5803</v>
      </c>
      <c r="AA402" t="s">
        <v>5805</v>
      </c>
      <c r="AB402" t="s">
        <v>5821</v>
      </c>
      <c r="AC402" t="s">
        <v>6112</v>
      </c>
      <c r="AE402" t="s">
        <v>8123</v>
      </c>
      <c r="AF402">
        <v>3</v>
      </c>
      <c r="AG402" t="s">
        <v>9270</v>
      </c>
      <c r="AH402" t="s">
        <v>4280</v>
      </c>
      <c r="AI402">
        <v>6</v>
      </c>
      <c r="AJ402">
        <v>2</v>
      </c>
      <c r="AK402">
        <v>2</v>
      </c>
      <c r="AL402">
        <v>135.46</v>
      </c>
      <c r="AO402" t="s">
        <v>1425</v>
      </c>
      <c r="AP402">
        <v>34000</v>
      </c>
      <c r="AV402">
        <v>0.8</v>
      </c>
      <c r="AW402" t="s">
        <v>56</v>
      </c>
    </row>
    <row r="403" spans="1:49">
      <c r="A403" s="1">
        <f>HYPERLINK("https://cms.ls-nyc.org/matter/dynamic-profile/view/1890247","19-1890247")</f>
        <v>0</v>
      </c>
      <c r="B403" t="s">
        <v>59</v>
      </c>
      <c r="C403" t="s">
        <v>83</v>
      </c>
      <c r="D403" t="s">
        <v>127</v>
      </c>
      <c r="F403" t="s">
        <v>650</v>
      </c>
      <c r="G403" t="s">
        <v>1720</v>
      </c>
      <c r="H403" t="s">
        <v>2867</v>
      </c>
      <c r="I403" t="s">
        <v>3858</v>
      </c>
      <c r="J403" t="s">
        <v>4222</v>
      </c>
      <c r="K403">
        <v>11434</v>
      </c>
      <c r="L403" t="s">
        <v>4275</v>
      </c>
      <c r="M403" t="s">
        <v>4275</v>
      </c>
      <c r="O403" t="s">
        <v>4281</v>
      </c>
      <c r="P403" t="s">
        <v>4676</v>
      </c>
      <c r="Q403" t="s">
        <v>5731</v>
      </c>
      <c r="R403" t="s">
        <v>5751</v>
      </c>
      <c r="T403" t="s">
        <v>4276</v>
      </c>
      <c r="V403" t="s">
        <v>5767</v>
      </c>
      <c r="W403" t="s">
        <v>5772</v>
      </c>
      <c r="X403" t="s">
        <v>127</v>
      </c>
      <c r="Y403">
        <v>1800</v>
      </c>
      <c r="Z403" t="s">
        <v>5803</v>
      </c>
      <c r="AA403" t="s">
        <v>5805</v>
      </c>
      <c r="AC403" t="s">
        <v>6216</v>
      </c>
      <c r="AD403" t="s">
        <v>7455</v>
      </c>
      <c r="AE403" t="s">
        <v>8221</v>
      </c>
      <c r="AF403">
        <v>6</v>
      </c>
      <c r="AG403" t="s">
        <v>9270</v>
      </c>
      <c r="AH403" t="s">
        <v>4280</v>
      </c>
      <c r="AI403">
        <v>-1</v>
      </c>
      <c r="AJ403">
        <v>1</v>
      </c>
      <c r="AK403">
        <v>2</v>
      </c>
      <c r="AL403">
        <v>153.02</v>
      </c>
      <c r="AO403" t="s">
        <v>1425</v>
      </c>
      <c r="AP403">
        <v>32640</v>
      </c>
      <c r="AV403">
        <v>35.38</v>
      </c>
      <c r="AW403" t="s">
        <v>54</v>
      </c>
    </row>
    <row r="404" spans="1:49">
      <c r="A404" s="1">
        <f>HYPERLINK("https://cms.ls-nyc.org/matter/dynamic-profile/view/1889966","19-1889966")</f>
        <v>0</v>
      </c>
      <c r="B404" t="s">
        <v>59</v>
      </c>
      <c r="C404" t="s">
        <v>83</v>
      </c>
      <c r="D404" t="s">
        <v>175</v>
      </c>
      <c r="F404" t="s">
        <v>651</v>
      </c>
      <c r="G404" t="s">
        <v>1721</v>
      </c>
      <c r="H404" t="s">
        <v>2868</v>
      </c>
      <c r="I404" t="s">
        <v>3864</v>
      </c>
      <c r="J404" t="s">
        <v>4223</v>
      </c>
      <c r="K404">
        <v>11423</v>
      </c>
      <c r="L404" t="s">
        <v>4275</v>
      </c>
      <c r="M404" t="s">
        <v>4275</v>
      </c>
      <c r="O404" t="s">
        <v>4282</v>
      </c>
      <c r="P404" t="s">
        <v>4677</v>
      </c>
      <c r="Q404" t="s">
        <v>5731</v>
      </c>
      <c r="R404" t="s">
        <v>5751</v>
      </c>
      <c r="T404" t="s">
        <v>4276</v>
      </c>
      <c r="V404" t="s">
        <v>5767</v>
      </c>
      <c r="W404" t="s">
        <v>5772</v>
      </c>
      <c r="X404" t="s">
        <v>175</v>
      </c>
      <c r="Y404">
        <v>1520</v>
      </c>
      <c r="Z404" t="s">
        <v>5803</v>
      </c>
      <c r="AA404" t="s">
        <v>5804</v>
      </c>
      <c r="AC404" t="s">
        <v>6217</v>
      </c>
      <c r="AE404" t="s">
        <v>8222</v>
      </c>
      <c r="AF404">
        <v>2</v>
      </c>
      <c r="AG404" t="s">
        <v>9269</v>
      </c>
      <c r="AH404" t="s">
        <v>9282</v>
      </c>
      <c r="AI404">
        <v>9</v>
      </c>
      <c r="AJ404">
        <v>3</v>
      </c>
      <c r="AK404">
        <v>1</v>
      </c>
      <c r="AL404">
        <v>159.22</v>
      </c>
      <c r="AO404" t="s">
        <v>1425</v>
      </c>
      <c r="AP404">
        <v>41000</v>
      </c>
      <c r="AR404" t="s">
        <v>9328</v>
      </c>
      <c r="AS404" t="s">
        <v>9337</v>
      </c>
      <c r="AT404" t="s">
        <v>9369</v>
      </c>
      <c r="AU404" t="s">
        <v>9462</v>
      </c>
      <c r="AV404">
        <v>10.75</v>
      </c>
      <c r="AW404" t="s">
        <v>73</v>
      </c>
    </row>
    <row r="405" spans="1:49">
      <c r="A405" s="1">
        <f>HYPERLINK("https://cms.ls-nyc.org/matter/dynamic-profile/view/1876305","18-1876305")</f>
        <v>0</v>
      </c>
      <c r="B405" t="s">
        <v>59</v>
      </c>
      <c r="C405" t="s">
        <v>82</v>
      </c>
      <c r="D405" t="s">
        <v>194</v>
      </c>
      <c r="E405" t="s">
        <v>242</v>
      </c>
      <c r="F405" t="s">
        <v>652</v>
      </c>
      <c r="G405" t="s">
        <v>1722</v>
      </c>
      <c r="H405" t="s">
        <v>2869</v>
      </c>
      <c r="I405">
        <v>1</v>
      </c>
      <c r="J405" t="s">
        <v>4235</v>
      </c>
      <c r="K405">
        <v>11421</v>
      </c>
      <c r="L405" t="s">
        <v>4275</v>
      </c>
      <c r="M405" t="s">
        <v>4275</v>
      </c>
      <c r="O405" t="s">
        <v>4282</v>
      </c>
      <c r="P405" t="s">
        <v>4678</v>
      </c>
      <c r="Q405" t="s">
        <v>5731</v>
      </c>
      <c r="R405" t="s">
        <v>5751</v>
      </c>
      <c r="S405" t="s">
        <v>5758</v>
      </c>
      <c r="T405" t="s">
        <v>4276</v>
      </c>
      <c r="V405" t="s">
        <v>5767</v>
      </c>
      <c r="W405" t="s">
        <v>5775</v>
      </c>
      <c r="X405" t="s">
        <v>194</v>
      </c>
      <c r="Y405">
        <v>1800</v>
      </c>
      <c r="Z405" t="s">
        <v>5803</v>
      </c>
      <c r="AA405" t="s">
        <v>5804</v>
      </c>
      <c r="AB405" t="s">
        <v>5822</v>
      </c>
      <c r="AC405" t="s">
        <v>6218</v>
      </c>
      <c r="AE405" t="s">
        <v>8223</v>
      </c>
      <c r="AF405">
        <v>0</v>
      </c>
      <c r="AG405" t="s">
        <v>9269</v>
      </c>
      <c r="AH405" t="s">
        <v>4280</v>
      </c>
      <c r="AI405">
        <v>3</v>
      </c>
      <c r="AJ405">
        <v>3</v>
      </c>
      <c r="AK405">
        <v>3</v>
      </c>
      <c r="AL405">
        <v>171.9</v>
      </c>
      <c r="AO405" t="s">
        <v>1425</v>
      </c>
      <c r="AP405">
        <v>58000</v>
      </c>
      <c r="AS405" t="s">
        <v>9349</v>
      </c>
      <c r="AT405" t="s">
        <v>9370</v>
      </c>
      <c r="AU405" t="s">
        <v>9463</v>
      </c>
      <c r="AV405">
        <v>3.6</v>
      </c>
      <c r="AW405" t="s">
        <v>54</v>
      </c>
    </row>
    <row r="406" spans="1:49">
      <c r="A406" s="1">
        <f>HYPERLINK("https://cms.ls-nyc.org/matter/dynamic-profile/view/1901054","19-1901054")</f>
        <v>0</v>
      </c>
      <c r="B406" t="s">
        <v>59</v>
      </c>
      <c r="C406" t="s">
        <v>83</v>
      </c>
      <c r="D406" t="s">
        <v>217</v>
      </c>
      <c r="F406" t="s">
        <v>653</v>
      </c>
      <c r="G406" t="s">
        <v>1723</v>
      </c>
      <c r="H406" t="s">
        <v>2870</v>
      </c>
      <c r="I406" t="s">
        <v>3940</v>
      </c>
      <c r="J406" t="s">
        <v>4241</v>
      </c>
      <c r="K406">
        <v>11368</v>
      </c>
      <c r="L406" t="s">
        <v>4275</v>
      </c>
      <c r="M406" t="s">
        <v>4277</v>
      </c>
      <c r="N406" t="s">
        <v>4278</v>
      </c>
      <c r="O406" t="s">
        <v>4282</v>
      </c>
      <c r="P406" t="s">
        <v>4679</v>
      </c>
      <c r="Q406" t="s">
        <v>5732</v>
      </c>
      <c r="R406" t="s">
        <v>5752</v>
      </c>
      <c r="T406" t="s">
        <v>4276</v>
      </c>
      <c r="V406" t="s">
        <v>5767</v>
      </c>
      <c r="Y406">
        <v>1800</v>
      </c>
      <c r="Z406" t="s">
        <v>5803</v>
      </c>
      <c r="AA406" t="s">
        <v>5804</v>
      </c>
      <c r="AC406" t="s">
        <v>6219</v>
      </c>
      <c r="AE406" t="s">
        <v>8224</v>
      </c>
      <c r="AF406">
        <v>3</v>
      </c>
      <c r="AG406" t="s">
        <v>9269</v>
      </c>
      <c r="AH406" t="s">
        <v>4280</v>
      </c>
      <c r="AI406">
        <v>15</v>
      </c>
      <c r="AJ406">
        <v>2</v>
      </c>
      <c r="AK406">
        <v>2</v>
      </c>
      <c r="AL406">
        <v>179.73</v>
      </c>
      <c r="AO406" t="s">
        <v>9298</v>
      </c>
      <c r="AP406">
        <v>46280</v>
      </c>
      <c r="AV406">
        <v>2.2</v>
      </c>
      <c r="AW406" t="s">
        <v>9549</v>
      </c>
    </row>
    <row r="407" spans="1:49">
      <c r="A407" s="1">
        <f>HYPERLINK("https://cms.ls-nyc.org/matter/dynamic-profile/view/1888683","19-1888683")</f>
        <v>0</v>
      </c>
      <c r="B407" t="s">
        <v>59</v>
      </c>
      <c r="C407" t="s">
        <v>82</v>
      </c>
      <c r="D407" t="s">
        <v>125</v>
      </c>
      <c r="E407" t="s">
        <v>99</v>
      </c>
      <c r="F407" t="s">
        <v>375</v>
      </c>
      <c r="G407" t="s">
        <v>1241</v>
      </c>
      <c r="H407" t="s">
        <v>2871</v>
      </c>
      <c r="I407" t="s">
        <v>3996</v>
      </c>
      <c r="J407" t="s">
        <v>4222</v>
      </c>
      <c r="K407">
        <v>11434</v>
      </c>
      <c r="L407" t="s">
        <v>4275</v>
      </c>
      <c r="M407" t="s">
        <v>4275</v>
      </c>
      <c r="N407" t="s">
        <v>4278</v>
      </c>
      <c r="O407" t="s">
        <v>4281</v>
      </c>
      <c r="P407" t="s">
        <v>4680</v>
      </c>
      <c r="Q407" t="s">
        <v>5731</v>
      </c>
      <c r="R407" t="s">
        <v>5751</v>
      </c>
      <c r="S407" t="s">
        <v>5758</v>
      </c>
      <c r="T407" t="s">
        <v>4276</v>
      </c>
      <c r="V407" t="s">
        <v>5767</v>
      </c>
      <c r="W407" t="s">
        <v>5772</v>
      </c>
      <c r="X407" t="s">
        <v>238</v>
      </c>
      <c r="Y407">
        <v>698.79</v>
      </c>
      <c r="Z407" t="s">
        <v>5803</v>
      </c>
      <c r="AA407" t="s">
        <v>5804</v>
      </c>
      <c r="AB407" t="s">
        <v>5820</v>
      </c>
      <c r="AC407" t="s">
        <v>6220</v>
      </c>
      <c r="AE407" t="s">
        <v>8225</v>
      </c>
      <c r="AF407">
        <v>100</v>
      </c>
      <c r="AG407" t="s">
        <v>9272</v>
      </c>
      <c r="AH407" t="s">
        <v>4280</v>
      </c>
      <c r="AI407">
        <v>3</v>
      </c>
      <c r="AJ407">
        <v>1</v>
      </c>
      <c r="AK407">
        <v>0</v>
      </c>
      <c r="AL407">
        <v>185.27</v>
      </c>
      <c r="AO407" t="s">
        <v>1425</v>
      </c>
      <c r="AP407">
        <v>23140</v>
      </c>
      <c r="AR407" t="s">
        <v>9327</v>
      </c>
      <c r="AS407" t="s">
        <v>9339</v>
      </c>
      <c r="AT407" t="s">
        <v>9369</v>
      </c>
      <c r="AU407" t="s">
        <v>9462</v>
      </c>
      <c r="AV407">
        <v>3.4</v>
      </c>
      <c r="AW407" t="s">
        <v>74</v>
      </c>
    </row>
    <row r="408" spans="1:49">
      <c r="A408" s="1">
        <f>HYPERLINK("https://cms.ls-nyc.org/matter/dynamic-profile/view/1887560","19-1887560")</f>
        <v>0</v>
      </c>
      <c r="B408" t="s">
        <v>59</v>
      </c>
      <c r="C408" t="s">
        <v>82</v>
      </c>
      <c r="D408" t="s">
        <v>136</v>
      </c>
      <c r="E408" t="s">
        <v>216</v>
      </c>
      <c r="F408" t="s">
        <v>368</v>
      </c>
      <c r="G408" t="s">
        <v>1724</v>
      </c>
      <c r="H408" t="s">
        <v>2872</v>
      </c>
      <c r="I408" t="s">
        <v>3875</v>
      </c>
      <c r="J408" t="s">
        <v>4232</v>
      </c>
      <c r="K408">
        <v>11104</v>
      </c>
      <c r="L408" t="s">
        <v>4275</v>
      </c>
      <c r="M408" t="s">
        <v>4275</v>
      </c>
      <c r="N408" t="s">
        <v>4278</v>
      </c>
      <c r="O408" t="s">
        <v>4282</v>
      </c>
      <c r="P408" t="s">
        <v>4681</v>
      </c>
      <c r="Q408" t="s">
        <v>5732</v>
      </c>
      <c r="R408" t="s">
        <v>5753</v>
      </c>
      <c r="S408" t="s">
        <v>5759</v>
      </c>
      <c r="T408" t="s">
        <v>4276</v>
      </c>
      <c r="V408" t="s">
        <v>5767</v>
      </c>
      <c r="W408" t="s">
        <v>5771</v>
      </c>
      <c r="X408" t="s">
        <v>5787</v>
      </c>
      <c r="Y408">
        <v>1900</v>
      </c>
      <c r="Z408" t="s">
        <v>5803</v>
      </c>
      <c r="AA408" t="s">
        <v>5808</v>
      </c>
      <c r="AB408" t="s">
        <v>5821</v>
      </c>
      <c r="AC408" t="s">
        <v>6221</v>
      </c>
      <c r="AE408" t="s">
        <v>8226</v>
      </c>
      <c r="AF408">
        <v>95</v>
      </c>
      <c r="AG408" t="s">
        <v>9269</v>
      </c>
      <c r="AH408" t="s">
        <v>4280</v>
      </c>
      <c r="AI408">
        <v>4</v>
      </c>
      <c r="AJ408">
        <v>2</v>
      </c>
      <c r="AK408">
        <v>2</v>
      </c>
      <c r="AL408">
        <v>186.45</v>
      </c>
      <c r="AO408" t="s">
        <v>1425</v>
      </c>
      <c r="AP408">
        <v>46800</v>
      </c>
      <c r="AV408">
        <v>0.5</v>
      </c>
      <c r="AW408" t="s">
        <v>73</v>
      </c>
    </row>
    <row r="409" spans="1:49">
      <c r="A409" s="1">
        <f>HYPERLINK("https://cms.ls-nyc.org/matter/dynamic-profile/view/1877561","18-1877561")</f>
        <v>0</v>
      </c>
      <c r="B409" t="s">
        <v>59</v>
      </c>
      <c r="C409" t="s">
        <v>82</v>
      </c>
      <c r="D409" t="s">
        <v>180</v>
      </c>
      <c r="E409" t="s">
        <v>282</v>
      </c>
      <c r="F409" t="s">
        <v>654</v>
      </c>
      <c r="G409" t="s">
        <v>1725</v>
      </c>
      <c r="H409" t="s">
        <v>2873</v>
      </c>
      <c r="I409">
        <v>55</v>
      </c>
      <c r="J409" t="s">
        <v>4230</v>
      </c>
      <c r="K409">
        <v>11101</v>
      </c>
      <c r="L409" t="s">
        <v>4275</v>
      </c>
      <c r="M409" t="s">
        <v>4275</v>
      </c>
      <c r="O409" t="s">
        <v>4283</v>
      </c>
      <c r="P409" t="s">
        <v>4682</v>
      </c>
      <c r="Q409" t="s">
        <v>5731</v>
      </c>
      <c r="R409" t="s">
        <v>5753</v>
      </c>
      <c r="S409" t="s">
        <v>5759</v>
      </c>
      <c r="T409" t="s">
        <v>4276</v>
      </c>
      <c r="V409" t="s">
        <v>5767</v>
      </c>
      <c r="W409" t="s">
        <v>5771</v>
      </c>
      <c r="X409" t="s">
        <v>242</v>
      </c>
      <c r="Y409">
        <v>1600</v>
      </c>
      <c r="Z409" t="s">
        <v>5803</v>
      </c>
      <c r="AA409" t="s">
        <v>5804</v>
      </c>
      <c r="AB409" t="s">
        <v>5821</v>
      </c>
      <c r="AC409" t="s">
        <v>5926</v>
      </c>
      <c r="AE409" t="s">
        <v>8227</v>
      </c>
      <c r="AF409">
        <v>30</v>
      </c>
      <c r="AG409" t="s">
        <v>9272</v>
      </c>
      <c r="AH409" t="s">
        <v>4280</v>
      </c>
      <c r="AI409">
        <v>1</v>
      </c>
      <c r="AJ409">
        <v>2</v>
      </c>
      <c r="AK409">
        <v>1</v>
      </c>
      <c r="AL409">
        <v>187.68</v>
      </c>
      <c r="AO409" t="s">
        <v>1425</v>
      </c>
      <c r="AP409">
        <v>39000</v>
      </c>
      <c r="AV409">
        <v>0.5</v>
      </c>
      <c r="AW409" t="s">
        <v>73</v>
      </c>
    </row>
    <row r="410" spans="1:49">
      <c r="A410" s="1">
        <f>HYPERLINK("https://cms.ls-nyc.org/matter/dynamic-profile/view/1883388","18-1883388")</f>
        <v>0</v>
      </c>
      <c r="B410" t="s">
        <v>59</v>
      </c>
      <c r="C410" t="s">
        <v>82</v>
      </c>
      <c r="D410" t="s">
        <v>196</v>
      </c>
      <c r="E410" t="s">
        <v>288</v>
      </c>
      <c r="F410" t="s">
        <v>329</v>
      </c>
      <c r="G410" t="s">
        <v>1726</v>
      </c>
      <c r="H410" t="s">
        <v>2833</v>
      </c>
      <c r="J410" t="s">
        <v>4222</v>
      </c>
      <c r="K410">
        <v>11434</v>
      </c>
      <c r="L410" t="s">
        <v>4275</v>
      </c>
      <c r="M410" t="s">
        <v>4275</v>
      </c>
      <c r="N410" t="s">
        <v>4278</v>
      </c>
      <c r="O410" t="s">
        <v>4281</v>
      </c>
      <c r="P410" t="s">
        <v>4683</v>
      </c>
      <c r="Q410" t="s">
        <v>5732</v>
      </c>
      <c r="R410" t="s">
        <v>5751</v>
      </c>
      <c r="S410" t="s">
        <v>5758</v>
      </c>
      <c r="T410" t="s">
        <v>4276</v>
      </c>
      <c r="V410" t="s">
        <v>5767</v>
      </c>
      <c r="W410" t="s">
        <v>5772</v>
      </c>
      <c r="X410" t="s">
        <v>234</v>
      </c>
      <c r="Y410">
        <v>600</v>
      </c>
      <c r="Z410" t="s">
        <v>5803</v>
      </c>
      <c r="AA410" t="s">
        <v>5805</v>
      </c>
      <c r="AB410" t="s">
        <v>5822</v>
      </c>
      <c r="AC410" t="s">
        <v>6222</v>
      </c>
      <c r="AE410" t="s">
        <v>8228</v>
      </c>
      <c r="AF410">
        <v>4</v>
      </c>
      <c r="AG410" t="s">
        <v>9269</v>
      </c>
      <c r="AH410" t="s">
        <v>4280</v>
      </c>
      <c r="AI410">
        <v>5</v>
      </c>
      <c r="AJ410">
        <v>1</v>
      </c>
      <c r="AK410">
        <v>0</v>
      </c>
      <c r="AL410">
        <v>187.81</v>
      </c>
      <c r="AO410" t="s">
        <v>1425</v>
      </c>
      <c r="AP410">
        <v>22800</v>
      </c>
      <c r="AR410" t="s">
        <v>9327</v>
      </c>
      <c r="AS410" t="s">
        <v>9348</v>
      </c>
      <c r="AT410" t="s">
        <v>9370</v>
      </c>
      <c r="AU410" t="s">
        <v>9407</v>
      </c>
      <c r="AV410">
        <v>6.5</v>
      </c>
      <c r="AW410" t="s">
        <v>54</v>
      </c>
    </row>
    <row r="411" spans="1:49">
      <c r="A411" s="1">
        <f>HYPERLINK("https://cms.ls-nyc.org/matter/dynamic-profile/view/1871517","18-1871517")</f>
        <v>0</v>
      </c>
      <c r="B411" t="s">
        <v>59</v>
      </c>
      <c r="C411" t="s">
        <v>82</v>
      </c>
      <c r="D411" t="s">
        <v>102</v>
      </c>
      <c r="E411" t="s">
        <v>187</v>
      </c>
      <c r="F411" t="s">
        <v>655</v>
      </c>
      <c r="G411" t="s">
        <v>1727</v>
      </c>
      <c r="H411" t="s">
        <v>2874</v>
      </c>
      <c r="I411">
        <v>1906</v>
      </c>
      <c r="J411" t="s">
        <v>4254</v>
      </c>
      <c r="K411">
        <v>11692</v>
      </c>
      <c r="L411" t="s">
        <v>4275</v>
      </c>
      <c r="M411" t="s">
        <v>4275</v>
      </c>
      <c r="O411" t="s">
        <v>4283</v>
      </c>
      <c r="P411" t="s">
        <v>4684</v>
      </c>
      <c r="Q411" t="s">
        <v>5731</v>
      </c>
      <c r="R411" t="s">
        <v>5753</v>
      </c>
      <c r="S411" t="s">
        <v>5759</v>
      </c>
      <c r="T411" t="s">
        <v>4276</v>
      </c>
      <c r="V411" t="s">
        <v>5767</v>
      </c>
      <c r="W411" t="s">
        <v>5772</v>
      </c>
      <c r="X411" t="s">
        <v>102</v>
      </c>
      <c r="Y411">
        <v>1150</v>
      </c>
      <c r="Z411" t="s">
        <v>5803</v>
      </c>
      <c r="AA411" t="s">
        <v>5804</v>
      </c>
      <c r="AB411" t="s">
        <v>5821</v>
      </c>
      <c r="AC411" t="s">
        <v>6223</v>
      </c>
      <c r="AD411" t="s">
        <v>4700</v>
      </c>
      <c r="AE411" t="s">
        <v>8229</v>
      </c>
      <c r="AF411">
        <v>228</v>
      </c>
      <c r="AG411" t="s">
        <v>9273</v>
      </c>
      <c r="AH411" t="s">
        <v>9282</v>
      </c>
      <c r="AI411">
        <v>5</v>
      </c>
      <c r="AJ411">
        <v>1</v>
      </c>
      <c r="AK411">
        <v>1</v>
      </c>
      <c r="AL411">
        <v>188.34</v>
      </c>
      <c r="AN411" t="s">
        <v>9294</v>
      </c>
      <c r="AO411" t="s">
        <v>1425</v>
      </c>
      <c r="AP411">
        <v>31000</v>
      </c>
      <c r="AV411">
        <v>1</v>
      </c>
      <c r="AW411" t="s">
        <v>54</v>
      </c>
    </row>
    <row r="412" spans="1:49">
      <c r="A412" s="1">
        <f>HYPERLINK("https://cms.ls-nyc.org/matter/dynamic-profile/view/1881334","18-1881334")</f>
        <v>0</v>
      </c>
      <c r="B412" t="s">
        <v>59</v>
      </c>
      <c r="C412" t="s">
        <v>82</v>
      </c>
      <c r="D412" t="s">
        <v>150</v>
      </c>
      <c r="E412" t="s">
        <v>187</v>
      </c>
      <c r="F412" t="s">
        <v>656</v>
      </c>
      <c r="G412" t="s">
        <v>1728</v>
      </c>
      <c r="H412" t="s">
        <v>2875</v>
      </c>
      <c r="J412" t="s">
        <v>4222</v>
      </c>
      <c r="K412">
        <v>11433</v>
      </c>
      <c r="L412" t="s">
        <v>4275</v>
      </c>
      <c r="M412" t="s">
        <v>4275</v>
      </c>
      <c r="O412" t="s">
        <v>4281</v>
      </c>
      <c r="P412" t="s">
        <v>4685</v>
      </c>
      <c r="Q412" t="s">
        <v>5732</v>
      </c>
      <c r="R412" t="s">
        <v>5751</v>
      </c>
      <c r="S412" t="s">
        <v>5758</v>
      </c>
      <c r="T412" t="s">
        <v>4276</v>
      </c>
      <c r="V412" t="s">
        <v>5767</v>
      </c>
      <c r="W412" t="s">
        <v>5772</v>
      </c>
      <c r="X412" t="s">
        <v>295</v>
      </c>
      <c r="Y412">
        <v>720</v>
      </c>
      <c r="Z412" t="s">
        <v>5803</v>
      </c>
      <c r="AA412" t="s">
        <v>5805</v>
      </c>
      <c r="AB412" t="s">
        <v>5820</v>
      </c>
      <c r="AC412" t="s">
        <v>6224</v>
      </c>
      <c r="AE412" t="s">
        <v>8230</v>
      </c>
      <c r="AF412">
        <v>2</v>
      </c>
      <c r="AG412" t="s">
        <v>9269</v>
      </c>
      <c r="AH412" t="s">
        <v>4280</v>
      </c>
      <c r="AI412">
        <v>1</v>
      </c>
      <c r="AJ412">
        <v>1</v>
      </c>
      <c r="AK412">
        <v>0</v>
      </c>
      <c r="AL412">
        <v>195.43</v>
      </c>
      <c r="AO412" t="s">
        <v>1425</v>
      </c>
      <c r="AP412">
        <v>23724.96</v>
      </c>
      <c r="AR412" t="s">
        <v>9329</v>
      </c>
      <c r="AS412" t="s">
        <v>9336</v>
      </c>
      <c r="AT412" t="s">
        <v>9369</v>
      </c>
      <c r="AU412" t="s">
        <v>9464</v>
      </c>
      <c r="AV412">
        <v>0.6</v>
      </c>
      <c r="AW412" t="s">
        <v>60</v>
      </c>
    </row>
    <row r="413" spans="1:49">
      <c r="A413" s="1">
        <f>HYPERLINK("https://cms.ls-nyc.org/matter/dynamic-profile/view/1900789","19-1900789")</f>
        <v>0</v>
      </c>
      <c r="B413" t="s">
        <v>59</v>
      </c>
      <c r="C413" t="s">
        <v>83</v>
      </c>
      <c r="D413" t="s">
        <v>166</v>
      </c>
      <c r="F413" t="s">
        <v>657</v>
      </c>
      <c r="G413" t="s">
        <v>1729</v>
      </c>
      <c r="H413" t="s">
        <v>2876</v>
      </c>
      <c r="J413" t="s">
        <v>4222</v>
      </c>
      <c r="K413">
        <v>11434</v>
      </c>
      <c r="L413" t="s">
        <v>4275</v>
      </c>
      <c r="M413" t="s">
        <v>4277</v>
      </c>
      <c r="N413" t="s">
        <v>4278</v>
      </c>
      <c r="O413" t="s">
        <v>4281</v>
      </c>
      <c r="P413" t="s">
        <v>4686</v>
      </c>
      <c r="Q413" t="s">
        <v>5732</v>
      </c>
      <c r="R413" t="s">
        <v>5751</v>
      </c>
      <c r="T413" t="s">
        <v>4276</v>
      </c>
      <c r="V413" t="s">
        <v>5767</v>
      </c>
      <c r="X413" t="s">
        <v>166</v>
      </c>
      <c r="Y413">
        <v>0</v>
      </c>
      <c r="Z413" t="s">
        <v>5803</v>
      </c>
      <c r="AA413" t="s">
        <v>5805</v>
      </c>
      <c r="AC413" t="s">
        <v>6225</v>
      </c>
      <c r="AE413" t="s">
        <v>8231</v>
      </c>
      <c r="AF413">
        <v>0</v>
      </c>
      <c r="AH413" t="s">
        <v>4280</v>
      </c>
      <c r="AI413">
        <v>29</v>
      </c>
      <c r="AJ413">
        <v>8</v>
      </c>
      <c r="AK413">
        <v>1</v>
      </c>
      <c r="AL413">
        <v>200.63</v>
      </c>
      <c r="AO413" t="s">
        <v>1425</v>
      </c>
      <c r="AP413">
        <v>96000</v>
      </c>
      <c r="AV413">
        <v>6.5</v>
      </c>
      <c r="AW413" t="s">
        <v>54</v>
      </c>
    </row>
    <row r="414" spans="1:49">
      <c r="A414" s="1">
        <f>HYPERLINK("https://cms.ls-nyc.org/matter/dynamic-profile/view/1884333","18-1884333")</f>
        <v>0</v>
      </c>
      <c r="B414" t="s">
        <v>59</v>
      </c>
      <c r="C414" t="s">
        <v>83</v>
      </c>
      <c r="D414" t="s">
        <v>149</v>
      </c>
      <c r="F414" t="s">
        <v>658</v>
      </c>
      <c r="G414" t="s">
        <v>1730</v>
      </c>
      <c r="H414" t="s">
        <v>2877</v>
      </c>
      <c r="I414" t="s">
        <v>3863</v>
      </c>
      <c r="J414" t="s">
        <v>4222</v>
      </c>
      <c r="K414">
        <v>11433</v>
      </c>
      <c r="L414" t="s">
        <v>4275</v>
      </c>
      <c r="M414" t="s">
        <v>4275</v>
      </c>
      <c r="O414" t="s">
        <v>4281</v>
      </c>
      <c r="P414" t="s">
        <v>4687</v>
      </c>
      <c r="Q414" t="s">
        <v>5731</v>
      </c>
      <c r="T414" t="s">
        <v>4275</v>
      </c>
      <c r="V414" t="s">
        <v>5768</v>
      </c>
      <c r="W414" t="s">
        <v>5773</v>
      </c>
      <c r="Y414">
        <v>495</v>
      </c>
      <c r="Z414" t="s">
        <v>5803</v>
      </c>
      <c r="AA414" t="s">
        <v>5805</v>
      </c>
      <c r="AC414" t="s">
        <v>6226</v>
      </c>
      <c r="AE414" t="s">
        <v>8232</v>
      </c>
      <c r="AF414">
        <v>16</v>
      </c>
      <c r="AG414" t="s">
        <v>9271</v>
      </c>
      <c r="AH414" t="s">
        <v>4280</v>
      </c>
      <c r="AI414">
        <v>11</v>
      </c>
      <c r="AJ414">
        <v>1</v>
      </c>
      <c r="AK414">
        <v>1</v>
      </c>
      <c r="AL414">
        <v>212.64</v>
      </c>
      <c r="AO414" t="s">
        <v>1425</v>
      </c>
      <c r="AP414">
        <v>35000</v>
      </c>
      <c r="AV414">
        <v>14.6</v>
      </c>
      <c r="AW414" t="s">
        <v>60</v>
      </c>
    </row>
    <row r="415" spans="1:49">
      <c r="A415" s="1">
        <f>HYPERLINK("https://cms.ls-nyc.org/matter/dynamic-profile/view/1894411","19-1894411")</f>
        <v>0</v>
      </c>
      <c r="B415" t="s">
        <v>59</v>
      </c>
      <c r="C415" t="s">
        <v>82</v>
      </c>
      <c r="D415" t="s">
        <v>121</v>
      </c>
      <c r="E415" t="s">
        <v>217</v>
      </c>
      <c r="F415" t="s">
        <v>659</v>
      </c>
      <c r="G415" t="s">
        <v>1731</v>
      </c>
      <c r="H415" t="s">
        <v>2878</v>
      </c>
      <c r="J415" t="s">
        <v>4222</v>
      </c>
      <c r="K415">
        <v>11434</v>
      </c>
      <c r="L415" t="s">
        <v>4275</v>
      </c>
      <c r="M415" t="s">
        <v>4275</v>
      </c>
      <c r="N415" t="s">
        <v>4278</v>
      </c>
      <c r="O415" t="s">
        <v>4281</v>
      </c>
      <c r="P415" t="s">
        <v>4688</v>
      </c>
      <c r="Q415" t="s">
        <v>5732</v>
      </c>
      <c r="R415" t="s">
        <v>5751</v>
      </c>
      <c r="S415" t="s">
        <v>5758</v>
      </c>
      <c r="T415" t="s">
        <v>4276</v>
      </c>
      <c r="V415" t="s">
        <v>5767</v>
      </c>
      <c r="W415" t="s">
        <v>5772</v>
      </c>
      <c r="X415" t="s">
        <v>121</v>
      </c>
      <c r="Y415">
        <v>0</v>
      </c>
      <c r="Z415" t="s">
        <v>5803</v>
      </c>
      <c r="AA415" t="s">
        <v>5805</v>
      </c>
      <c r="AB415" t="s">
        <v>5822</v>
      </c>
      <c r="AC415" t="s">
        <v>6227</v>
      </c>
      <c r="AE415" t="s">
        <v>8233</v>
      </c>
      <c r="AF415">
        <v>5</v>
      </c>
      <c r="AG415" t="s">
        <v>9269</v>
      </c>
      <c r="AH415" t="s">
        <v>4280</v>
      </c>
      <c r="AI415">
        <v>3</v>
      </c>
      <c r="AJ415">
        <v>1</v>
      </c>
      <c r="AK415">
        <v>1</v>
      </c>
      <c r="AL415">
        <v>218.81</v>
      </c>
      <c r="AO415" t="s">
        <v>1425</v>
      </c>
      <c r="AP415">
        <v>37000</v>
      </c>
      <c r="AR415" t="s">
        <v>9328</v>
      </c>
      <c r="AS415" t="s">
        <v>9336</v>
      </c>
      <c r="AT415" t="s">
        <v>9369</v>
      </c>
      <c r="AU415" t="s">
        <v>9401</v>
      </c>
      <c r="AV415">
        <v>7.8</v>
      </c>
      <c r="AW415" t="s">
        <v>54</v>
      </c>
    </row>
    <row r="416" spans="1:49">
      <c r="A416" s="1">
        <f>HYPERLINK("https://cms.ls-nyc.org/matter/dynamic-profile/view/1884837","18-1884837")</f>
        <v>0</v>
      </c>
      <c r="B416" t="s">
        <v>59</v>
      </c>
      <c r="C416" t="s">
        <v>82</v>
      </c>
      <c r="D416" t="s">
        <v>108</v>
      </c>
      <c r="E416" t="s">
        <v>99</v>
      </c>
      <c r="F416" t="s">
        <v>660</v>
      </c>
      <c r="G416" t="s">
        <v>1732</v>
      </c>
      <c r="H416" t="s">
        <v>2879</v>
      </c>
      <c r="I416" t="s">
        <v>3931</v>
      </c>
      <c r="J416" t="s">
        <v>4240</v>
      </c>
      <c r="K416">
        <v>11373</v>
      </c>
      <c r="L416" t="s">
        <v>4275</v>
      </c>
      <c r="M416" t="s">
        <v>4275</v>
      </c>
      <c r="N416" t="s">
        <v>4278</v>
      </c>
      <c r="O416" t="s">
        <v>4281</v>
      </c>
      <c r="P416" t="s">
        <v>4689</v>
      </c>
      <c r="Q416" t="s">
        <v>5732</v>
      </c>
      <c r="R416" t="s">
        <v>5751</v>
      </c>
      <c r="S416" t="s">
        <v>5758</v>
      </c>
      <c r="T416" t="s">
        <v>4276</v>
      </c>
      <c r="V416" t="s">
        <v>5767</v>
      </c>
      <c r="W416" t="s">
        <v>5772</v>
      </c>
      <c r="X416" t="s">
        <v>108</v>
      </c>
      <c r="Y416">
        <v>1600</v>
      </c>
      <c r="Z416" t="s">
        <v>5803</v>
      </c>
      <c r="AA416" t="s">
        <v>5805</v>
      </c>
      <c r="AB416" t="s">
        <v>5822</v>
      </c>
      <c r="AF416">
        <v>6</v>
      </c>
      <c r="AG416" t="s">
        <v>9269</v>
      </c>
      <c r="AH416" t="s">
        <v>4280</v>
      </c>
      <c r="AI416">
        <v>0</v>
      </c>
      <c r="AJ416">
        <v>3</v>
      </c>
      <c r="AK416">
        <v>0</v>
      </c>
      <c r="AL416">
        <v>225.22</v>
      </c>
      <c r="AM416" t="s">
        <v>138</v>
      </c>
      <c r="AN416" t="s">
        <v>9293</v>
      </c>
      <c r="AO416" t="s">
        <v>9298</v>
      </c>
      <c r="AP416">
        <v>46800</v>
      </c>
      <c r="AR416" t="s">
        <v>9327</v>
      </c>
      <c r="AS416" t="s">
        <v>5806</v>
      </c>
      <c r="AT416" t="s">
        <v>9370</v>
      </c>
      <c r="AU416" t="s">
        <v>9465</v>
      </c>
      <c r="AV416">
        <v>4.3</v>
      </c>
      <c r="AW416" t="s">
        <v>60</v>
      </c>
    </row>
    <row r="417" spans="1:49">
      <c r="A417" s="1">
        <f>HYPERLINK("https://cms.ls-nyc.org/matter/dynamic-profile/view/1885160","18-1885160")</f>
        <v>0</v>
      </c>
      <c r="B417" t="s">
        <v>59</v>
      </c>
      <c r="C417" t="s">
        <v>82</v>
      </c>
      <c r="D417" t="s">
        <v>221</v>
      </c>
      <c r="E417" t="s">
        <v>154</v>
      </c>
      <c r="F417" t="s">
        <v>661</v>
      </c>
      <c r="G417" t="s">
        <v>1733</v>
      </c>
      <c r="H417" t="s">
        <v>2880</v>
      </c>
      <c r="I417" t="s">
        <v>3997</v>
      </c>
      <c r="J417" t="s">
        <v>4222</v>
      </c>
      <c r="K417">
        <v>11432</v>
      </c>
      <c r="L417" t="s">
        <v>4275</v>
      </c>
      <c r="M417" t="s">
        <v>4276</v>
      </c>
      <c r="O417" t="s">
        <v>4282</v>
      </c>
      <c r="P417" t="s">
        <v>4690</v>
      </c>
      <c r="Q417" t="s">
        <v>5732</v>
      </c>
      <c r="R417" t="s">
        <v>5751</v>
      </c>
      <c r="S417" t="s">
        <v>5758</v>
      </c>
      <c r="T417" t="s">
        <v>4276</v>
      </c>
      <c r="V417" t="s">
        <v>5767</v>
      </c>
      <c r="W417" t="s">
        <v>5772</v>
      </c>
      <c r="X417" t="s">
        <v>86</v>
      </c>
      <c r="Y417">
        <v>1416</v>
      </c>
      <c r="Z417" t="s">
        <v>5803</v>
      </c>
      <c r="AA417" t="s">
        <v>5807</v>
      </c>
      <c r="AB417" t="s">
        <v>5820</v>
      </c>
      <c r="AC417" t="s">
        <v>6228</v>
      </c>
      <c r="AD417" t="s">
        <v>4700</v>
      </c>
      <c r="AE417" t="s">
        <v>8234</v>
      </c>
      <c r="AF417">
        <v>64</v>
      </c>
      <c r="AG417" t="s">
        <v>9272</v>
      </c>
      <c r="AH417" t="s">
        <v>4280</v>
      </c>
      <c r="AI417">
        <v>4</v>
      </c>
      <c r="AJ417">
        <v>4</v>
      </c>
      <c r="AK417">
        <v>0</v>
      </c>
      <c r="AL417">
        <v>239.04</v>
      </c>
      <c r="AM417" t="s">
        <v>154</v>
      </c>
      <c r="AN417" t="s">
        <v>9293</v>
      </c>
      <c r="AO417" t="s">
        <v>9298</v>
      </c>
      <c r="AP417">
        <v>60000</v>
      </c>
      <c r="AR417" t="s">
        <v>9327</v>
      </c>
      <c r="AS417" t="s">
        <v>9340</v>
      </c>
      <c r="AT417" t="s">
        <v>9369</v>
      </c>
      <c r="AU417" t="s">
        <v>9441</v>
      </c>
      <c r="AV417">
        <v>5.15</v>
      </c>
      <c r="AW417" t="s">
        <v>54</v>
      </c>
    </row>
    <row r="418" spans="1:49">
      <c r="A418" s="1">
        <f>HYPERLINK("https://cms.ls-nyc.org/matter/dynamic-profile/view/1890631","19-1890631")</f>
        <v>0</v>
      </c>
      <c r="B418" t="s">
        <v>59</v>
      </c>
      <c r="C418" t="s">
        <v>83</v>
      </c>
      <c r="D418" t="s">
        <v>109</v>
      </c>
      <c r="F418" t="s">
        <v>500</v>
      </c>
      <c r="G418" t="s">
        <v>1734</v>
      </c>
      <c r="H418" t="s">
        <v>2881</v>
      </c>
      <c r="J418" t="s">
        <v>4222</v>
      </c>
      <c r="K418">
        <v>11434</v>
      </c>
      <c r="L418" t="s">
        <v>4275</v>
      </c>
      <c r="M418" t="s">
        <v>4275</v>
      </c>
      <c r="N418" t="s">
        <v>4278</v>
      </c>
      <c r="O418" t="s">
        <v>4281</v>
      </c>
      <c r="P418" t="s">
        <v>4691</v>
      </c>
      <c r="Q418" t="s">
        <v>5731</v>
      </c>
      <c r="R418" t="s">
        <v>5751</v>
      </c>
      <c r="T418" t="s">
        <v>4276</v>
      </c>
      <c r="V418" t="s">
        <v>5767</v>
      </c>
      <c r="W418" t="s">
        <v>5772</v>
      </c>
      <c r="X418" t="s">
        <v>95</v>
      </c>
      <c r="Y418">
        <v>1089</v>
      </c>
      <c r="Z418" t="s">
        <v>5803</v>
      </c>
      <c r="AA418" t="s">
        <v>5805</v>
      </c>
      <c r="AC418" t="s">
        <v>6229</v>
      </c>
      <c r="AE418" t="s">
        <v>8235</v>
      </c>
      <c r="AF418">
        <v>5000</v>
      </c>
      <c r="AG418" t="s">
        <v>9273</v>
      </c>
      <c r="AH418" t="s">
        <v>4280</v>
      </c>
      <c r="AI418">
        <v>33</v>
      </c>
      <c r="AJ418">
        <v>2</v>
      </c>
      <c r="AK418">
        <v>0</v>
      </c>
      <c r="AL418">
        <v>260.2</v>
      </c>
      <c r="AM418" t="s">
        <v>234</v>
      </c>
      <c r="AN418" t="s">
        <v>9293</v>
      </c>
      <c r="AO418" t="s">
        <v>1425</v>
      </c>
      <c r="AP418">
        <v>44000</v>
      </c>
      <c r="AR418" t="s">
        <v>9328</v>
      </c>
      <c r="AS418" t="s">
        <v>9337</v>
      </c>
      <c r="AT418" t="s">
        <v>9369</v>
      </c>
      <c r="AU418" t="s">
        <v>9466</v>
      </c>
      <c r="AV418">
        <v>16.72</v>
      </c>
      <c r="AW418" t="s">
        <v>54</v>
      </c>
    </row>
    <row r="419" spans="1:49">
      <c r="A419" s="1">
        <f>HYPERLINK("https://cms.ls-nyc.org/matter/dynamic-profile/view/1894368","19-1894368")</f>
        <v>0</v>
      </c>
      <c r="B419" t="s">
        <v>59</v>
      </c>
      <c r="C419" t="s">
        <v>82</v>
      </c>
      <c r="D419" t="s">
        <v>121</v>
      </c>
      <c r="E419" t="s">
        <v>299</v>
      </c>
      <c r="F419" t="s">
        <v>662</v>
      </c>
      <c r="G419" t="s">
        <v>1735</v>
      </c>
      <c r="H419" t="s">
        <v>2882</v>
      </c>
      <c r="I419" t="s">
        <v>3998</v>
      </c>
      <c r="J419" t="s">
        <v>4222</v>
      </c>
      <c r="K419">
        <v>11434</v>
      </c>
      <c r="L419" t="s">
        <v>4275</v>
      </c>
      <c r="M419" t="s">
        <v>4275</v>
      </c>
      <c r="O419" t="s">
        <v>4281</v>
      </c>
      <c r="P419" t="s">
        <v>4692</v>
      </c>
      <c r="Q419" t="s">
        <v>5731</v>
      </c>
      <c r="R419" t="s">
        <v>5753</v>
      </c>
      <c r="S419" t="s">
        <v>5759</v>
      </c>
      <c r="T419" t="s">
        <v>4276</v>
      </c>
      <c r="V419" t="s">
        <v>5767</v>
      </c>
      <c r="W419" t="s">
        <v>5772</v>
      </c>
      <c r="X419" t="s">
        <v>121</v>
      </c>
      <c r="Y419">
        <v>1238.61</v>
      </c>
      <c r="Z419" t="s">
        <v>5803</v>
      </c>
      <c r="AA419" t="s">
        <v>5805</v>
      </c>
      <c r="AB419" t="s">
        <v>5821</v>
      </c>
      <c r="AC419" t="s">
        <v>6230</v>
      </c>
      <c r="AE419" t="s">
        <v>8236</v>
      </c>
      <c r="AF419">
        <v>40</v>
      </c>
      <c r="AG419" t="s">
        <v>9270</v>
      </c>
      <c r="AH419" t="s">
        <v>4280</v>
      </c>
      <c r="AI419">
        <v>36</v>
      </c>
      <c r="AJ419">
        <v>1</v>
      </c>
      <c r="AK419">
        <v>0</v>
      </c>
      <c r="AL419">
        <v>296.24</v>
      </c>
      <c r="AO419" t="s">
        <v>1425</v>
      </c>
      <c r="AP419">
        <v>37000</v>
      </c>
      <c r="AV419">
        <v>1.1</v>
      </c>
      <c r="AW419" t="s">
        <v>54</v>
      </c>
    </row>
    <row r="420" spans="1:49">
      <c r="A420" s="1">
        <f>HYPERLINK("https://cms.ls-nyc.org/matter/dynamic-profile/view/1894413","19-1894413")</f>
        <v>0</v>
      </c>
      <c r="B420" t="s">
        <v>59</v>
      </c>
      <c r="C420" t="s">
        <v>82</v>
      </c>
      <c r="D420" t="s">
        <v>121</v>
      </c>
      <c r="E420" t="s">
        <v>99</v>
      </c>
      <c r="F420" t="s">
        <v>663</v>
      </c>
      <c r="G420" t="s">
        <v>1736</v>
      </c>
      <c r="H420" t="s">
        <v>2883</v>
      </c>
      <c r="I420">
        <v>303</v>
      </c>
      <c r="J420" t="s">
        <v>4240</v>
      </c>
      <c r="K420">
        <v>11373</v>
      </c>
      <c r="L420" t="s">
        <v>4275</v>
      </c>
      <c r="M420" t="s">
        <v>4275</v>
      </c>
      <c r="N420" t="s">
        <v>4278</v>
      </c>
      <c r="O420" t="s">
        <v>4281</v>
      </c>
      <c r="P420" t="s">
        <v>4693</v>
      </c>
      <c r="Q420" t="s">
        <v>5731</v>
      </c>
      <c r="R420" t="s">
        <v>5753</v>
      </c>
      <c r="S420" t="s">
        <v>5759</v>
      </c>
      <c r="T420" t="s">
        <v>4276</v>
      </c>
      <c r="V420" t="s">
        <v>5767</v>
      </c>
      <c r="W420" t="s">
        <v>5772</v>
      </c>
      <c r="X420" t="s">
        <v>121</v>
      </c>
      <c r="Y420">
        <v>1487</v>
      </c>
      <c r="Z420" t="s">
        <v>5803</v>
      </c>
      <c r="AA420" t="s">
        <v>5805</v>
      </c>
      <c r="AB420" t="s">
        <v>5821</v>
      </c>
      <c r="AC420" t="s">
        <v>6231</v>
      </c>
      <c r="AE420" t="s">
        <v>8237</v>
      </c>
      <c r="AF420">
        <v>194</v>
      </c>
      <c r="AG420" t="s">
        <v>9270</v>
      </c>
      <c r="AH420" t="s">
        <v>4280</v>
      </c>
      <c r="AI420">
        <v>25</v>
      </c>
      <c r="AJ420">
        <v>3</v>
      </c>
      <c r="AK420">
        <v>0</v>
      </c>
      <c r="AL420">
        <v>346.93</v>
      </c>
      <c r="AO420" t="s">
        <v>1425</v>
      </c>
      <c r="AP420">
        <v>74000</v>
      </c>
      <c r="AV420">
        <v>0.7</v>
      </c>
      <c r="AW420" t="s">
        <v>54</v>
      </c>
    </row>
    <row r="421" spans="1:49">
      <c r="A421" s="1">
        <f>HYPERLINK("https://cms.ls-nyc.org/matter/dynamic-profile/view/1877969","18-1877969")</f>
        <v>0</v>
      </c>
      <c r="B421" t="s">
        <v>60</v>
      </c>
      <c r="C421" t="s">
        <v>82</v>
      </c>
      <c r="D421" t="s">
        <v>126</v>
      </c>
      <c r="E421" t="s">
        <v>189</v>
      </c>
      <c r="F421" t="s">
        <v>664</v>
      </c>
      <c r="G421" t="s">
        <v>1737</v>
      </c>
      <c r="H421" t="s">
        <v>2884</v>
      </c>
      <c r="I421" t="s">
        <v>3999</v>
      </c>
      <c r="J421" t="s">
        <v>4243</v>
      </c>
      <c r="K421">
        <v>11691</v>
      </c>
      <c r="L421" t="s">
        <v>4275</v>
      </c>
      <c r="M421" t="s">
        <v>4275</v>
      </c>
      <c r="O421" t="s">
        <v>4283</v>
      </c>
      <c r="P421" t="s">
        <v>4694</v>
      </c>
      <c r="Q421" t="s">
        <v>5732</v>
      </c>
      <c r="R421" t="s">
        <v>5753</v>
      </c>
      <c r="S421" t="s">
        <v>5759</v>
      </c>
      <c r="T421" t="s">
        <v>4276</v>
      </c>
      <c r="V421" t="s">
        <v>5767</v>
      </c>
      <c r="W421" t="s">
        <v>5771</v>
      </c>
      <c r="X421" t="s">
        <v>126</v>
      </c>
      <c r="Y421">
        <v>1200</v>
      </c>
      <c r="Z421" t="s">
        <v>5803</v>
      </c>
      <c r="AA421" t="s">
        <v>5804</v>
      </c>
      <c r="AB421" t="s">
        <v>5821</v>
      </c>
      <c r="AC421" t="s">
        <v>6232</v>
      </c>
      <c r="AE421" t="s">
        <v>8238</v>
      </c>
      <c r="AF421">
        <v>1</v>
      </c>
      <c r="AG421" t="s">
        <v>9269</v>
      </c>
      <c r="AH421" t="s">
        <v>9284</v>
      </c>
      <c r="AI421">
        <v>3</v>
      </c>
      <c r="AJ421">
        <v>1</v>
      </c>
      <c r="AK421">
        <v>1</v>
      </c>
      <c r="AL421">
        <v>0</v>
      </c>
      <c r="AO421" t="s">
        <v>1425</v>
      </c>
      <c r="AP421">
        <v>0</v>
      </c>
      <c r="AV421">
        <v>0.55</v>
      </c>
      <c r="AW421" t="s">
        <v>73</v>
      </c>
    </row>
    <row r="422" spans="1:49">
      <c r="A422" s="1">
        <f>HYPERLINK("https://cms.ls-nyc.org/matter/dynamic-profile/view/1894222","19-1894222")</f>
        <v>0</v>
      </c>
      <c r="B422" t="s">
        <v>60</v>
      </c>
      <c r="C422" t="s">
        <v>83</v>
      </c>
      <c r="D422" t="s">
        <v>211</v>
      </c>
      <c r="F422" t="s">
        <v>665</v>
      </c>
      <c r="G422" t="s">
        <v>1738</v>
      </c>
      <c r="H422" t="s">
        <v>2885</v>
      </c>
      <c r="I422" t="s">
        <v>3982</v>
      </c>
      <c r="J422" t="s">
        <v>4223</v>
      </c>
      <c r="K422">
        <v>11423</v>
      </c>
      <c r="L422" t="s">
        <v>4275</v>
      </c>
      <c r="M422" t="s">
        <v>4275</v>
      </c>
      <c r="O422" t="s">
        <v>4282</v>
      </c>
      <c r="P422" t="s">
        <v>4695</v>
      </c>
      <c r="Q422" t="s">
        <v>5731</v>
      </c>
      <c r="R422" t="s">
        <v>5753</v>
      </c>
      <c r="T422" t="s">
        <v>4276</v>
      </c>
      <c r="V422" t="s">
        <v>5767</v>
      </c>
      <c r="X422" t="s">
        <v>211</v>
      </c>
      <c r="Y422">
        <v>987.1900000000001</v>
      </c>
      <c r="Z422" t="s">
        <v>5803</v>
      </c>
      <c r="AA422" t="s">
        <v>5804</v>
      </c>
      <c r="AC422" t="s">
        <v>6233</v>
      </c>
      <c r="AE422" t="s">
        <v>8239</v>
      </c>
      <c r="AF422">
        <v>0</v>
      </c>
      <c r="AG422" t="s">
        <v>9270</v>
      </c>
      <c r="AH422" t="s">
        <v>4280</v>
      </c>
      <c r="AI422">
        <v>4</v>
      </c>
      <c r="AJ422">
        <v>1</v>
      </c>
      <c r="AK422">
        <v>0</v>
      </c>
      <c r="AL422">
        <v>0</v>
      </c>
      <c r="AO422" t="s">
        <v>1425</v>
      </c>
      <c r="AP422">
        <v>0</v>
      </c>
      <c r="AV422">
        <v>0.4</v>
      </c>
      <c r="AW422" t="s">
        <v>54</v>
      </c>
    </row>
    <row r="423" spans="1:49">
      <c r="A423" s="1">
        <f>HYPERLINK("https://cms.ls-nyc.org/matter/dynamic-profile/view/1883994","18-1883994")</f>
        <v>0</v>
      </c>
      <c r="B423" t="s">
        <v>60</v>
      </c>
      <c r="C423" t="s">
        <v>82</v>
      </c>
      <c r="D423" t="s">
        <v>86</v>
      </c>
      <c r="E423" t="s">
        <v>207</v>
      </c>
      <c r="F423" t="s">
        <v>666</v>
      </c>
      <c r="G423" t="s">
        <v>339</v>
      </c>
      <c r="H423" t="s">
        <v>2886</v>
      </c>
      <c r="J423" t="s">
        <v>4239</v>
      </c>
      <c r="K423">
        <v>11420</v>
      </c>
      <c r="L423" t="s">
        <v>4275</v>
      </c>
      <c r="M423" t="s">
        <v>4275</v>
      </c>
      <c r="O423" t="s">
        <v>4282</v>
      </c>
      <c r="P423" t="s">
        <v>4696</v>
      </c>
      <c r="Q423" t="s">
        <v>5732</v>
      </c>
      <c r="R423" t="s">
        <v>5753</v>
      </c>
      <c r="S423" t="s">
        <v>5759</v>
      </c>
      <c r="T423" t="s">
        <v>4276</v>
      </c>
      <c r="V423" t="s">
        <v>5767</v>
      </c>
      <c r="W423" t="s">
        <v>5772</v>
      </c>
      <c r="X423" t="s">
        <v>86</v>
      </c>
      <c r="Y423">
        <v>0</v>
      </c>
      <c r="Z423" t="s">
        <v>5803</v>
      </c>
      <c r="AA423" t="s">
        <v>5804</v>
      </c>
      <c r="AB423" t="s">
        <v>5821</v>
      </c>
      <c r="AC423" t="s">
        <v>6234</v>
      </c>
      <c r="AE423" t="s">
        <v>7289</v>
      </c>
      <c r="AF423">
        <v>2</v>
      </c>
      <c r="AG423" t="s">
        <v>9269</v>
      </c>
      <c r="AH423" t="s">
        <v>4280</v>
      </c>
      <c r="AI423">
        <v>12</v>
      </c>
      <c r="AJ423">
        <v>1</v>
      </c>
      <c r="AK423">
        <v>0</v>
      </c>
      <c r="AL423">
        <v>0</v>
      </c>
      <c r="AO423" t="s">
        <v>1425</v>
      </c>
      <c r="AP423">
        <v>0</v>
      </c>
      <c r="AV423">
        <v>0.45</v>
      </c>
      <c r="AW423" t="s">
        <v>73</v>
      </c>
    </row>
    <row r="424" spans="1:49">
      <c r="A424" s="1">
        <f>HYPERLINK("https://cms.ls-nyc.org/matter/dynamic-profile/view/1873838","18-1873838")</f>
        <v>0</v>
      </c>
      <c r="B424" t="s">
        <v>60</v>
      </c>
      <c r="C424" t="s">
        <v>82</v>
      </c>
      <c r="D424" t="s">
        <v>112</v>
      </c>
      <c r="E424" t="s">
        <v>235</v>
      </c>
      <c r="F424" t="s">
        <v>667</v>
      </c>
      <c r="G424" t="s">
        <v>1739</v>
      </c>
      <c r="H424" t="s">
        <v>2887</v>
      </c>
      <c r="I424" t="s">
        <v>3878</v>
      </c>
      <c r="J424" t="s">
        <v>4231</v>
      </c>
      <c r="K424">
        <v>11419</v>
      </c>
      <c r="L424" t="s">
        <v>4275</v>
      </c>
      <c r="M424" t="s">
        <v>4275</v>
      </c>
      <c r="O424" t="s">
        <v>4282</v>
      </c>
      <c r="P424" t="s">
        <v>4697</v>
      </c>
      <c r="Q424" t="s">
        <v>5732</v>
      </c>
      <c r="R424" t="s">
        <v>5753</v>
      </c>
      <c r="S424" t="s">
        <v>5759</v>
      </c>
      <c r="T424" t="s">
        <v>4276</v>
      </c>
      <c r="V424" t="s">
        <v>5767</v>
      </c>
      <c r="W424" t="s">
        <v>5774</v>
      </c>
      <c r="X424" t="s">
        <v>112</v>
      </c>
      <c r="Y424">
        <v>800</v>
      </c>
      <c r="Z424" t="s">
        <v>5803</v>
      </c>
      <c r="AA424" t="s">
        <v>5804</v>
      </c>
      <c r="AB424" t="s">
        <v>5821</v>
      </c>
      <c r="AC424" t="s">
        <v>6235</v>
      </c>
      <c r="AD424" t="s">
        <v>7456</v>
      </c>
      <c r="AE424" t="s">
        <v>8240</v>
      </c>
      <c r="AF424">
        <v>2</v>
      </c>
      <c r="AG424" t="s">
        <v>9269</v>
      </c>
      <c r="AH424" t="s">
        <v>4280</v>
      </c>
      <c r="AI424">
        <v>3</v>
      </c>
      <c r="AJ424">
        <v>1</v>
      </c>
      <c r="AK424">
        <v>0</v>
      </c>
      <c r="AL424">
        <v>0</v>
      </c>
      <c r="AO424" t="s">
        <v>1425</v>
      </c>
      <c r="AP424">
        <v>0</v>
      </c>
      <c r="AV424">
        <v>0.4</v>
      </c>
      <c r="AW424" t="s">
        <v>73</v>
      </c>
    </row>
    <row r="425" spans="1:49">
      <c r="A425" s="1">
        <f>HYPERLINK("https://cms.ls-nyc.org/matter/dynamic-profile/view/1884108","18-1884108")</f>
        <v>0</v>
      </c>
      <c r="B425" t="s">
        <v>60</v>
      </c>
      <c r="C425" t="s">
        <v>83</v>
      </c>
      <c r="D425" t="s">
        <v>222</v>
      </c>
      <c r="F425" t="s">
        <v>376</v>
      </c>
      <c r="G425" t="s">
        <v>1740</v>
      </c>
      <c r="H425" t="s">
        <v>2888</v>
      </c>
      <c r="I425" t="s">
        <v>4000</v>
      </c>
      <c r="J425" t="s">
        <v>4247</v>
      </c>
      <c r="K425">
        <v>11415</v>
      </c>
      <c r="L425" t="s">
        <v>4277</v>
      </c>
      <c r="M425" t="s">
        <v>4277</v>
      </c>
      <c r="O425" t="s">
        <v>4283</v>
      </c>
      <c r="P425" t="s">
        <v>4698</v>
      </c>
      <c r="Q425" t="s">
        <v>5742</v>
      </c>
      <c r="R425" t="s">
        <v>5756</v>
      </c>
      <c r="T425" t="s">
        <v>4275</v>
      </c>
      <c r="V425" t="s">
        <v>5767</v>
      </c>
      <c r="W425" t="s">
        <v>5772</v>
      </c>
      <c r="Y425">
        <v>0</v>
      </c>
      <c r="Z425" t="s">
        <v>5803</v>
      </c>
      <c r="AA425" t="s">
        <v>5807</v>
      </c>
      <c r="AC425" t="s">
        <v>6236</v>
      </c>
      <c r="AE425" t="s">
        <v>7289</v>
      </c>
      <c r="AF425">
        <v>57</v>
      </c>
      <c r="AG425" t="s">
        <v>9272</v>
      </c>
      <c r="AH425" t="s">
        <v>4280</v>
      </c>
      <c r="AI425">
        <v>2</v>
      </c>
      <c r="AJ425">
        <v>1</v>
      </c>
      <c r="AK425">
        <v>0</v>
      </c>
      <c r="AL425">
        <v>0</v>
      </c>
      <c r="AO425" t="s">
        <v>9298</v>
      </c>
      <c r="AP425">
        <v>0</v>
      </c>
      <c r="AV425">
        <v>0.95</v>
      </c>
      <c r="AW425" t="s">
        <v>54</v>
      </c>
    </row>
    <row r="426" spans="1:49">
      <c r="A426" s="1">
        <f>HYPERLINK("https://cms.ls-nyc.org/matter/dynamic-profile/view/1883973","18-1883973")</f>
        <v>0</v>
      </c>
      <c r="B426" t="s">
        <v>60</v>
      </c>
      <c r="C426" t="s">
        <v>82</v>
      </c>
      <c r="D426" t="s">
        <v>86</v>
      </c>
      <c r="E426" t="s">
        <v>207</v>
      </c>
      <c r="F426" t="s">
        <v>376</v>
      </c>
      <c r="G426" t="s">
        <v>1021</v>
      </c>
      <c r="H426" t="s">
        <v>2889</v>
      </c>
      <c r="I426" t="s">
        <v>3870</v>
      </c>
      <c r="J426" t="s">
        <v>4255</v>
      </c>
      <c r="K426">
        <v>11372</v>
      </c>
      <c r="L426" t="s">
        <v>4275</v>
      </c>
      <c r="M426" t="s">
        <v>4275</v>
      </c>
      <c r="O426" t="s">
        <v>4282</v>
      </c>
      <c r="P426" t="s">
        <v>4699</v>
      </c>
      <c r="Q426" t="s">
        <v>5731</v>
      </c>
      <c r="R426" t="s">
        <v>5753</v>
      </c>
      <c r="S426" t="s">
        <v>5759</v>
      </c>
      <c r="T426" t="s">
        <v>4276</v>
      </c>
      <c r="V426" t="s">
        <v>5767</v>
      </c>
      <c r="W426" t="s">
        <v>5771</v>
      </c>
      <c r="X426" t="s">
        <v>86</v>
      </c>
      <c r="Y426">
        <v>1085</v>
      </c>
      <c r="Z426" t="s">
        <v>5803</v>
      </c>
      <c r="AA426" t="s">
        <v>5804</v>
      </c>
      <c r="AB426" t="s">
        <v>5821</v>
      </c>
      <c r="AC426" t="s">
        <v>5905</v>
      </c>
      <c r="AD426" t="s">
        <v>7457</v>
      </c>
      <c r="AE426" t="s">
        <v>8241</v>
      </c>
      <c r="AF426">
        <v>36</v>
      </c>
      <c r="AG426" t="s">
        <v>9272</v>
      </c>
      <c r="AH426" t="s">
        <v>4280</v>
      </c>
      <c r="AI426">
        <v>30</v>
      </c>
      <c r="AJ426">
        <v>1</v>
      </c>
      <c r="AK426">
        <v>0</v>
      </c>
      <c r="AL426">
        <v>0</v>
      </c>
      <c r="AO426" t="s">
        <v>9298</v>
      </c>
      <c r="AP426">
        <v>0</v>
      </c>
      <c r="AV426">
        <v>0.2</v>
      </c>
      <c r="AW426" t="s">
        <v>73</v>
      </c>
    </row>
    <row r="427" spans="1:49">
      <c r="A427" s="1">
        <f>HYPERLINK("https://cms.ls-nyc.org/matter/dynamic-profile/view/1886035","18-1886035")</f>
        <v>0</v>
      </c>
      <c r="B427" t="s">
        <v>60</v>
      </c>
      <c r="C427" t="s">
        <v>83</v>
      </c>
      <c r="D427" t="s">
        <v>191</v>
      </c>
      <c r="F427" t="s">
        <v>668</v>
      </c>
      <c r="G427" t="s">
        <v>1741</v>
      </c>
      <c r="H427" t="s">
        <v>2890</v>
      </c>
      <c r="I427" t="s">
        <v>3894</v>
      </c>
      <c r="J427" t="s">
        <v>4227</v>
      </c>
      <c r="K427">
        <v>11365</v>
      </c>
      <c r="L427" t="s">
        <v>4275</v>
      </c>
      <c r="M427" t="s">
        <v>4275</v>
      </c>
      <c r="O427" t="s">
        <v>4282</v>
      </c>
      <c r="P427" t="s">
        <v>4700</v>
      </c>
      <c r="Q427" t="s">
        <v>4698</v>
      </c>
      <c r="R427" t="s">
        <v>5756</v>
      </c>
      <c r="T427" t="s">
        <v>4276</v>
      </c>
      <c r="V427" t="s">
        <v>5767</v>
      </c>
      <c r="W427" t="s">
        <v>5772</v>
      </c>
      <c r="X427" t="s">
        <v>191</v>
      </c>
      <c r="Y427">
        <v>684</v>
      </c>
      <c r="Z427" t="s">
        <v>5803</v>
      </c>
      <c r="AA427" t="s">
        <v>5804</v>
      </c>
      <c r="AC427" t="s">
        <v>6237</v>
      </c>
      <c r="AD427" t="s">
        <v>7458</v>
      </c>
      <c r="AE427" t="s">
        <v>8242</v>
      </c>
      <c r="AF427">
        <v>84</v>
      </c>
      <c r="AG427" t="s">
        <v>9271</v>
      </c>
      <c r="AH427" t="s">
        <v>4280</v>
      </c>
      <c r="AI427">
        <v>5</v>
      </c>
      <c r="AJ427">
        <v>1</v>
      </c>
      <c r="AK427">
        <v>0</v>
      </c>
      <c r="AL427">
        <v>0</v>
      </c>
      <c r="AO427" t="s">
        <v>1425</v>
      </c>
      <c r="AP427">
        <v>0</v>
      </c>
      <c r="AV427">
        <v>0.7</v>
      </c>
      <c r="AW427" t="s">
        <v>73</v>
      </c>
    </row>
    <row r="428" spans="1:49">
      <c r="A428" s="1">
        <f>HYPERLINK("https://cms.ls-nyc.org/matter/dynamic-profile/view/1886578","18-1886578")</f>
        <v>0</v>
      </c>
      <c r="B428" t="s">
        <v>60</v>
      </c>
      <c r="C428" t="s">
        <v>82</v>
      </c>
      <c r="D428" t="s">
        <v>189</v>
      </c>
      <c r="E428" t="s">
        <v>282</v>
      </c>
      <c r="F428" t="s">
        <v>669</v>
      </c>
      <c r="G428" t="s">
        <v>1607</v>
      </c>
      <c r="H428" t="s">
        <v>2891</v>
      </c>
      <c r="I428" t="s">
        <v>3886</v>
      </c>
      <c r="J428" t="s">
        <v>4234</v>
      </c>
      <c r="K428">
        <v>11102</v>
      </c>
      <c r="L428" t="s">
        <v>4275</v>
      </c>
      <c r="M428" t="s">
        <v>4275</v>
      </c>
      <c r="O428" t="s">
        <v>4282</v>
      </c>
      <c r="P428" t="s">
        <v>4701</v>
      </c>
      <c r="Q428" t="s">
        <v>5732</v>
      </c>
      <c r="R428" t="s">
        <v>5753</v>
      </c>
      <c r="S428" t="s">
        <v>5759</v>
      </c>
      <c r="T428" t="s">
        <v>4276</v>
      </c>
      <c r="V428" t="s">
        <v>5768</v>
      </c>
      <c r="W428" t="s">
        <v>5772</v>
      </c>
      <c r="X428" t="s">
        <v>189</v>
      </c>
      <c r="Y428">
        <v>252</v>
      </c>
      <c r="Z428" t="s">
        <v>5803</v>
      </c>
      <c r="AA428" t="s">
        <v>5804</v>
      </c>
      <c r="AB428" t="s">
        <v>5821</v>
      </c>
      <c r="AC428" t="s">
        <v>6238</v>
      </c>
      <c r="AE428" t="s">
        <v>8243</v>
      </c>
      <c r="AF428">
        <v>36</v>
      </c>
      <c r="AG428" t="s">
        <v>9271</v>
      </c>
      <c r="AH428" t="s">
        <v>4280</v>
      </c>
      <c r="AI428">
        <v>3</v>
      </c>
      <c r="AJ428">
        <v>1</v>
      </c>
      <c r="AK428">
        <v>0</v>
      </c>
      <c r="AL428">
        <v>0</v>
      </c>
      <c r="AO428" t="s">
        <v>1425</v>
      </c>
      <c r="AP428">
        <v>0</v>
      </c>
      <c r="AV428">
        <v>0.2</v>
      </c>
      <c r="AW428" t="s">
        <v>54</v>
      </c>
    </row>
    <row r="429" spans="1:49">
      <c r="A429" s="1">
        <f>HYPERLINK("https://cms.ls-nyc.org/matter/dynamic-profile/view/1888070","19-1888070")</f>
        <v>0</v>
      </c>
      <c r="B429" t="s">
        <v>60</v>
      </c>
      <c r="C429" t="s">
        <v>83</v>
      </c>
      <c r="D429" t="s">
        <v>152</v>
      </c>
      <c r="F429" t="s">
        <v>670</v>
      </c>
      <c r="G429" t="s">
        <v>1742</v>
      </c>
      <c r="H429" t="s">
        <v>2892</v>
      </c>
      <c r="I429" t="s">
        <v>4001</v>
      </c>
      <c r="J429" t="s">
        <v>4255</v>
      </c>
      <c r="K429">
        <v>11372</v>
      </c>
      <c r="L429" t="s">
        <v>4275</v>
      </c>
      <c r="M429" t="s">
        <v>4275</v>
      </c>
      <c r="O429" t="s">
        <v>4282</v>
      </c>
      <c r="P429" t="s">
        <v>4702</v>
      </c>
      <c r="Q429" t="s">
        <v>5741</v>
      </c>
      <c r="R429" t="s">
        <v>5753</v>
      </c>
      <c r="T429" t="s">
        <v>4276</v>
      </c>
      <c r="V429" t="s">
        <v>5767</v>
      </c>
      <c r="Y429">
        <v>900</v>
      </c>
      <c r="Z429" t="s">
        <v>5803</v>
      </c>
      <c r="AA429" t="s">
        <v>5804</v>
      </c>
      <c r="AC429" t="s">
        <v>6239</v>
      </c>
      <c r="AD429" t="s">
        <v>7459</v>
      </c>
      <c r="AE429" t="s">
        <v>8244</v>
      </c>
      <c r="AF429">
        <v>0</v>
      </c>
      <c r="AG429" t="s">
        <v>9275</v>
      </c>
      <c r="AH429" t="s">
        <v>4280</v>
      </c>
      <c r="AI429">
        <v>14</v>
      </c>
      <c r="AJ429">
        <v>1</v>
      </c>
      <c r="AK429">
        <v>1</v>
      </c>
      <c r="AL429">
        <v>1.52</v>
      </c>
      <c r="AO429" t="s">
        <v>1425</v>
      </c>
      <c r="AP429">
        <v>250</v>
      </c>
      <c r="AV429">
        <v>0.2</v>
      </c>
      <c r="AW429" t="s">
        <v>54</v>
      </c>
    </row>
    <row r="430" spans="1:49">
      <c r="A430" s="1">
        <f>HYPERLINK("https://cms.ls-nyc.org/matter/dynamic-profile/view/1882660","18-1882660")</f>
        <v>0</v>
      </c>
      <c r="B430" t="s">
        <v>60</v>
      </c>
      <c r="C430" t="s">
        <v>82</v>
      </c>
      <c r="D430" t="s">
        <v>111</v>
      </c>
      <c r="E430" t="s">
        <v>189</v>
      </c>
      <c r="F430" t="s">
        <v>671</v>
      </c>
      <c r="G430" t="s">
        <v>1743</v>
      </c>
      <c r="H430" t="s">
        <v>2893</v>
      </c>
      <c r="I430" t="s">
        <v>3891</v>
      </c>
      <c r="J430" t="s">
        <v>4253</v>
      </c>
      <c r="K430">
        <v>11422</v>
      </c>
      <c r="L430" t="s">
        <v>4275</v>
      </c>
      <c r="M430" t="s">
        <v>4275</v>
      </c>
      <c r="O430" t="s">
        <v>4282</v>
      </c>
      <c r="P430" t="s">
        <v>4703</v>
      </c>
      <c r="Q430" t="s">
        <v>5731</v>
      </c>
      <c r="R430" t="s">
        <v>5753</v>
      </c>
      <c r="S430" t="s">
        <v>5759</v>
      </c>
      <c r="T430" t="s">
        <v>4276</v>
      </c>
      <c r="V430" t="s">
        <v>5767</v>
      </c>
      <c r="W430" t="s">
        <v>5772</v>
      </c>
      <c r="X430" t="s">
        <v>111</v>
      </c>
      <c r="Y430">
        <v>569</v>
      </c>
      <c r="Z430" t="s">
        <v>5803</v>
      </c>
      <c r="AA430" t="s">
        <v>5804</v>
      </c>
      <c r="AB430" t="s">
        <v>5821</v>
      </c>
      <c r="AC430" t="s">
        <v>6240</v>
      </c>
      <c r="AD430" t="s">
        <v>7460</v>
      </c>
      <c r="AE430" t="s">
        <v>8245</v>
      </c>
      <c r="AF430">
        <v>20</v>
      </c>
      <c r="AG430" t="s">
        <v>9269</v>
      </c>
      <c r="AH430" t="s">
        <v>9282</v>
      </c>
      <c r="AI430">
        <v>10</v>
      </c>
      <c r="AJ430">
        <v>2</v>
      </c>
      <c r="AK430">
        <v>1</v>
      </c>
      <c r="AL430">
        <v>18.65</v>
      </c>
      <c r="AO430" t="s">
        <v>1425</v>
      </c>
      <c r="AP430">
        <v>3876</v>
      </c>
      <c r="AV430">
        <v>0.35</v>
      </c>
      <c r="AW430" t="s">
        <v>73</v>
      </c>
    </row>
    <row r="431" spans="1:49">
      <c r="A431" s="1">
        <f>HYPERLINK("https://cms.ls-nyc.org/matter/dynamic-profile/view/1881859","18-1881859")</f>
        <v>0</v>
      </c>
      <c r="B431" t="s">
        <v>60</v>
      </c>
      <c r="C431" t="s">
        <v>82</v>
      </c>
      <c r="D431" t="s">
        <v>170</v>
      </c>
      <c r="E431" t="s">
        <v>189</v>
      </c>
      <c r="F431" t="s">
        <v>672</v>
      </c>
      <c r="G431" t="s">
        <v>1744</v>
      </c>
      <c r="H431" t="s">
        <v>2894</v>
      </c>
      <c r="I431" t="s">
        <v>3867</v>
      </c>
      <c r="J431" t="s">
        <v>4253</v>
      </c>
      <c r="K431">
        <v>11422</v>
      </c>
      <c r="L431" t="s">
        <v>4275</v>
      </c>
      <c r="M431" t="s">
        <v>4275</v>
      </c>
      <c r="O431" t="s">
        <v>4282</v>
      </c>
      <c r="P431" t="s">
        <v>4704</v>
      </c>
      <c r="Q431" t="s">
        <v>5732</v>
      </c>
      <c r="R431" t="s">
        <v>5753</v>
      </c>
      <c r="S431" t="s">
        <v>5759</v>
      </c>
      <c r="T431" t="s">
        <v>4276</v>
      </c>
      <c r="V431" t="s">
        <v>5767</v>
      </c>
      <c r="W431" t="s">
        <v>5772</v>
      </c>
      <c r="X431" t="s">
        <v>154</v>
      </c>
      <c r="Y431">
        <v>800</v>
      </c>
      <c r="Z431" t="s">
        <v>5803</v>
      </c>
      <c r="AA431" t="s">
        <v>5804</v>
      </c>
      <c r="AB431" t="s">
        <v>5821</v>
      </c>
      <c r="AC431" t="s">
        <v>6241</v>
      </c>
      <c r="AD431" t="s">
        <v>7461</v>
      </c>
      <c r="AE431" t="s">
        <v>8246</v>
      </c>
      <c r="AF431">
        <v>2</v>
      </c>
      <c r="AG431" t="s">
        <v>9269</v>
      </c>
      <c r="AH431" t="s">
        <v>9288</v>
      </c>
      <c r="AI431">
        <v>2</v>
      </c>
      <c r="AJ431">
        <v>1</v>
      </c>
      <c r="AK431">
        <v>0</v>
      </c>
      <c r="AL431">
        <v>19.18</v>
      </c>
      <c r="AO431" t="s">
        <v>1425</v>
      </c>
      <c r="AP431">
        <v>2328</v>
      </c>
      <c r="AV431">
        <v>0.2</v>
      </c>
      <c r="AW431" t="s">
        <v>54</v>
      </c>
    </row>
    <row r="432" spans="1:49">
      <c r="A432" s="1">
        <f>HYPERLINK("https://cms.ls-nyc.org/matter/dynamic-profile/view/1892253","19-1892253")</f>
        <v>0</v>
      </c>
      <c r="B432" t="s">
        <v>60</v>
      </c>
      <c r="C432" t="s">
        <v>83</v>
      </c>
      <c r="D432" t="s">
        <v>160</v>
      </c>
      <c r="F432" t="s">
        <v>673</v>
      </c>
      <c r="G432" t="s">
        <v>1745</v>
      </c>
      <c r="H432" t="s">
        <v>2895</v>
      </c>
      <c r="I432" t="s">
        <v>4002</v>
      </c>
      <c r="J432" t="s">
        <v>4258</v>
      </c>
      <c r="K432">
        <v>11369</v>
      </c>
      <c r="L432" t="s">
        <v>4275</v>
      </c>
      <c r="M432" t="s">
        <v>4275</v>
      </c>
      <c r="O432" t="s">
        <v>4282</v>
      </c>
      <c r="P432" t="s">
        <v>4705</v>
      </c>
      <c r="Q432" t="s">
        <v>5731</v>
      </c>
      <c r="R432" t="s">
        <v>5753</v>
      </c>
      <c r="T432" t="s">
        <v>4275</v>
      </c>
      <c r="V432" t="s">
        <v>5767</v>
      </c>
      <c r="Y432">
        <v>1380.3</v>
      </c>
      <c r="Z432" t="s">
        <v>5803</v>
      </c>
      <c r="AA432" t="s">
        <v>5806</v>
      </c>
      <c r="AC432" t="s">
        <v>6242</v>
      </c>
      <c r="AE432" t="s">
        <v>8247</v>
      </c>
      <c r="AF432">
        <v>0</v>
      </c>
      <c r="AI432">
        <v>1</v>
      </c>
      <c r="AJ432">
        <v>1</v>
      </c>
      <c r="AK432">
        <v>2</v>
      </c>
      <c r="AL432">
        <v>20.48</v>
      </c>
      <c r="AP432">
        <v>4368</v>
      </c>
      <c r="AV432">
        <v>1.2</v>
      </c>
      <c r="AW432" t="s">
        <v>60</v>
      </c>
    </row>
    <row r="433" spans="1:49">
      <c r="A433" s="1">
        <f>HYPERLINK("https://cms.ls-nyc.org/matter/dynamic-profile/view/1879359","18-1879359")</f>
        <v>0</v>
      </c>
      <c r="B433" t="s">
        <v>60</v>
      </c>
      <c r="C433" t="s">
        <v>82</v>
      </c>
      <c r="D433" t="s">
        <v>220</v>
      </c>
      <c r="E433" t="s">
        <v>300</v>
      </c>
      <c r="F433" t="s">
        <v>416</v>
      </c>
      <c r="G433" t="s">
        <v>1746</v>
      </c>
      <c r="H433" t="s">
        <v>2896</v>
      </c>
      <c r="I433" t="s">
        <v>3878</v>
      </c>
      <c r="J433" t="s">
        <v>4227</v>
      </c>
      <c r="K433">
        <v>11365</v>
      </c>
      <c r="L433" t="s">
        <v>4275</v>
      </c>
      <c r="M433" t="s">
        <v>4275</v>
      </c>
      <c r="O433" t="s">
        <v>4282</v>
      </c>
      <c r="P433" t="s">
        <v>4706</v>
      </c>
      <c r="Q433" t="s">
        <v>5732</v>
      </c>
      <c r="R433" t="s">
        <v>5753</v>
      </c>
      <c r="S433" t="s">
        <v>5759</v>
      </c>
      <c r="T433" t="s">
        <v>4276</v>
      </c>
      <c r="V433" t="s">
        <v>5767</v>
      </c>
      <c r="X433" t="s">
        <v>220</v>
      </c>
      <c r="Y433">
        <v>1150</v>
      </c>
      <c r="Z433" t="s">
        <v>5803</v>
      </c>
      <c r="AA433" t="s">
        <v>5804</v>
      </c>
      <c r="AB433" t="s">
        <v>5821</v>
      </c>
      <c r="AC433" t="s">
        <v>6243</v>
      </c>
      <c r="AD433" t="s">
        <v>7462</v>
      </c>
      <c r="AE433" t="s">
        <v>8248</v>
      </c>
      <c r="AF433">
        <v>3</v>
      </c>
      <c r="AG433" t="s">
        <v>9269</v>
      </c>
      <c r="AH433" t="s">
        <v>5806</v>
      </c>
      <c r="AI433">
        <v>1</v>
      </c>
      <c r="AJ433">
        <v>1</v>
      </c>
      <c r="AK433">
        <v>2</v>
      </c>
      <c r="AL433">
        <v>24.4</v>
      </c>
      <c r="AO433" t="s">
        <v>1425</v>
      </c>
      <c r="AP433">
        <v>5070</v>
      </c>
      <c r="AV433">
        <v>0.3</v>
      </c>
      <c r="AW433" t="s">
        <v>73</v>
      </c>
    </row>
    <row r="434" spans="1:49">
      <c r="A434" s="1">
        <f>HYPERLINK("https://cms.ls-nyc.org/matter/dynamic-profile/view/1893058","19-1893058")</f>
        <v>0</v>
      </c>
      <c r="B434" t="s">
        <v>60</v>
      </c>
      <c r="C434" t="s">
        <v>83</v>
      </c>
      <c r="D434" t="s">
        <v>114</v>
      </c>
      <c r="F434" t="s">
        <v>674</v>
      </c>
      <c r="G434" t="s">
        <v>1747</v>
      </c>
      <c r="H434" t="s">
        <v>2897</v>
      </c>
      <c r="I434" t="s">
        <v>3840</v>
      </c>
      <c r="J434" t="s">
        <v>4252</v>
      </c>
      <c r="K434">
        <v>11374</v>
      </c>
      <c r="L434" t="s">
        <v>4275</v>
      </c>
      <c r="M434" t="s">
        <v>4275</v>
      </c>
      <c r="O434" t="s">
        <v>4282</v>
      </c>
      <c r="P434" t="s">
        <v>4707</v>
      </c>
      <c r="Q434" t="s">
        <v>5731</v>
      </c>
      <c r="R434" t="s">
        <v>5753</v>
      </c>
      <c r="T434" t="s">
        <v>4275</v>
      </c>
      <c r="V434" t="s">
        <v>5767</v>
      </c>
      <c r="W434" t="s">
        <v>5772</v>
      </c>
      <c r="X434" t="s">
        <v>114</v>
      </c>
      <c r="Y434">
        <v>1535.56</v>
      </c>
      <c r="Z434" t="s">
        <v>5803</v>
      </c>
      <c r="AA434" t="s">
        <v>5804</v>
      </c>
      <c r="AC434" t="s">
        <v>6244</v>
      </c>
      <c r="AE434" t="s">
        <v>8249</v>
      </c>
      <c r="AF434">
        <v>60</v>
      </c>
      <c r="AG434" t="s">
        <v>9270</v>
      </c>
      <c r="AH434" t="s">
        <v>4280</v>
      </c>
      <c r="AI434">
        <v>6</v>
      </c>
      <c r="AJ434">
        <v>2</v>
      </c>
      <c r="AK434">
        <v>4</v>
      </c>
      <c r="AL434">
        <v>33.07</v>
      </c>
      <c r="AO434" t="s">
        <v>1425</v>
      </c>
      <c r="AP434">
        <v>11440</v>
      </c>
      <c r="AV434">
        <v>0.7</v>
      </c>
      <c r="AW434" t="s">
        <v>54</v>
      </c>
    </row>
    <row r="435" spans="1:49">
      <c r="A435" s="1">
        <f>HYPERLINK("https://cms.ls-nyc.org/matter/dynamic-profile/view/1878787","18-1878787")</f>
        <v>0</v>
      </c>
      <c r="B435" t="s">
        <v>60</v>
      </c>
      <c r="C435" t="s">
        <v>82</v>
      </c>
      <c r="D435" t="s">
        <v>215</v>
      </c>
      <c r="E435" t="s">
        <v>189</v>
      </c>
      <c r="F435" t="s">
        <v>675</v>
      </c>
      <c r="G435" t="s">
        <v>1748</v>
      </c>
      <c r="H435" t="s">
        <v>2898</v>
      </c>
      <c r="I435" t="s">
        <v>4003</v>
      </c>
      <c r="J435" t="s">
        <v>4229</v>
      </c>
      <c r="K435">
        <v>11377</v>
      </c>
      <c r="L435" t="s">
        <v>4275</v>
      </c>
      <c r="M435" t="s">
        <v>4275</v>
      </c>
      <c r="O435" t="s">
        <v>4282</v>
      </c>
      <c r="P435" t="s">
        <v>4708</v>
      </c>
      <c r="Q435" t="s">
        <v>5731</v>
      </c>
      <c r="R435" t="s">
        <v>5753</v>
      </c>
      <c r="S435" t="s">
        <v>5759</v>
      </c>
      <c r="T435" t="s">
        <v>4276</v>
      </c>
      <c r="V435" t="s">
        <v>5767</v>
      </c>
      <c r="W435" t="s">
        <v>5771</v>
      </c>
      <c r="X435" t="s">
        <v>145</v>
      </c>
      <c r="Y435">
        <v>1300</v>
      </c>
      <c r="Z435" t="s">
        <v>5803</v>
      </c>
      <c r="AA435" t="s">
        <v>5804</v>
      </c>
      <c r="AB435" t="s">
        <v>5821</v>
      </c>
      <c r="AC435" t="s">
        <v>6245</v>
      </c>
      <c r="AE435" t="s">
        <v>8250</v>
      </c>
      <c r="AF435">
        <v>80</v>
      </c>
      <c r="AG435" t="s">
        <v>9270</v>
      </c>
      <c r="AH435" t="s">
        <v>4280</v>
      </c>
      <c r="AI435">
        <v>19</v>
      </c>
      <c r="AJ435">
        <v>1</v>
      </c>
      <c r="AK435">
        <v>0</v>
      </c>
      <c r="AL435">
        <v>33.17</v>
      </c>
      <c r="AO435" t="s">
        <v>9313</v>
      </c>
      <c r="AP435">
        <v>4027.2</v>
      </c>
      <c r="AV435">
        <v>2.1</v>
      </c>
      <c r="AW435" t="s">
        <v>54</v>
      </c>
    </row>
    <row r="436" spans="1:49">
      <c r="A436" s="1">
        <f>HYPERLINK("https://cms.ls-nyc.org/matter/dynamic-profile/view/1892670","19-1892670")</f>
        <v>0</v>
      </c>
      <c r="B436" t="s">
        <v>60</v>
      </c>
      <c r="C436" t="s">
        <v>83</v>
      </c>
      <c r="D436" t="s">
        <v>134</v>
      </c>
      <c r="F436" t="s">
        <v>380</v>
      </c>
      <c r="G436" t="s">
        <v>1749</v>
      </c>
      <c r="H436" t="s">
        <v>2899</v>
      </c>
      <c r="I436" t="s">
        <v>3842</v>
      </c>
      <c r="J436" t="s">
        <v>4231</v>
      </c>
      <c r="K436">
        <v>11419</v>
      </c>
      <c r="L436" t="s">
        <v>4275</v>
      </c>
      <c r="M436" t="s">
        <v>4275</v>
      </c>
      <c r="O436" t="s">
        <v>4282</v>
      </c>
      <c r="P436" t="s">
        <v>4709</v>
      </c>
      <c r="Q436" t="s">
        <v>5732</v>
      </c>
      <c r="R436" t="s">
        <v>5753</v>
      </c>
      <c r="T436" t="s">
        <v>4276</v>
      </c>
      <c r="V436" t="s">
        <v>5767</v>
      </c>
      <c r="X436" t="s">
        <v>134</v>
      </c>
      <c r="Y436">
        <v>2000</v>
      </c>
      <c r="Z436" t="s">
        <v>5803</v>
      </c>
      <c r="AA436" t="s">
        <v>5804</v>
      </c>
      <c r="AC436" t="s">
        <v>6246</v>
      </c>
      <c r="AD436" t="s">
        <v>7463</v>
      </c>
      <c r="AE436" t="s">
        <v>8251</v>
      </c>
      <c r="AF436">
        <v>0</v>
      </c>
      <c r="AG436" t="s">
        <v>9270</v>
      </c>
      <c r="AH436" t="s">
        <v>4280</v>
      </c>
      <c r="AI436">
        <v>1</v>
      </c>
      <c r="AJ436">
        <v>2</v>
      </c>
      <c r="AK436">
        <v>2</v>
      </c>
      <c r="AL436">
        <v>37.28</v>
      </c>
      <c r="AO436" t="s">
        <v>1425</v>
      </c>
      <c r="AP436">
        <v>9600</v>
      </c>
      <c r="AV436">
        <v>0.5</v>
      </c>
      <c r="AW436" t="s">
        <v>54</v>
      </c>
    </row>
    <row r="437" spans="1:49">
      <c r="A437" s="1">
        <f>HYPERLINK("https://cms.ls-nyc.org/matter/dynamic-profile/view/1882942","18-1882942")</f>
        <v>0</v>
      </c>
      <c r="B437" t="s">
        <v>60</v>
      </c>
      <c r="C437" t="s">
        <v>82</v>
      </c>
      <c r="D437" t="s">
        <v>223</v>
      </c>
      <c r="E437" t="s">
        <v>207</v>
      </c>
      <c r="F437" t="s">
        <v>676</v>
      </c>
      <c r="G437" t="s">
        <v>1741</v>
      </c>
      <c r="H437" t="s">
        <v>2900</v>
      </c>
      <c r="I437" t="s">
        <v>3976</v>
      </c>
      <c r="J437" t="s">
        <v>4231</v>
      </c>
      <c r="K437">
        <v>11419</v>
      </c>
      <c r="L437" t="s">
        <v>4275</v>
      </c>
      <c r="M437" t="s">
        <v>4275</v>
      </c>
      <c r="O437" t="s">
        <v>4282</v>
      </c>
      <c r="P437" t="s">
        <v>4710</v>
      </c>
      <c r="Q437" t="s">
        <v>5732</v>
      </c>
      <c r="R437" t="s">
        <v>5753</v>
      </c>
      <c r="S437" t="s">
        <v>5759</v>
      </c>
      <c r="T437" t="s">
        <v>4276</v>
      </c>
      <c r="V437" t="s">
        <v>5767</v>
      </c>
      <c r="X437" t="s">
        <v>154</v>
      </c>
      <c r="Y437">
        <v>1514</v>
      </c>
      <c r="Z437" t="s">
        <v>5803</v>
      </c>
      <c r="AA437" t="s">
        <v>5804</v>
      </c>
      <c r="AB437" t="s">
        <v>5821</v>
      </c>
      <c r="AC437" t="s">
        <v>6247</v>
      </c>
      <c r="AD437" t="s">
        <v>7464</v>
      </c>
      <c r="AE437" t="s">
        <v>8252</v>
      </c>
      <c r="AF437">
        <v>2</v>
      </c>
      <c r="AH437" t="s">
        <v>9282</v>
      </c>
      <c r="AI437">
        <v>5</v>
      </c>
      <c r="AJ437">
        <v>1</v>
      </c>
      <c r="AK437">
        <v>2</v>
      </c>
      <c r="AL437">
        <v>41.58</v>
      </c>
      <c r="AO437" t="s">
        <v>1425</v>
      </c>
      <c r="AP437">
        <v>8640</v>
      </c>
      <c r="AV437">
        <v>0.3</v>
      </c>
      <c r="AW437" t="s">
        <v>54</v>
      </c>
    </row>
    <row r="438" spans="1:49">
      <c r="A438" s="1">
        <f>HYPERLINK("https://cms.ls-nyc.org/matter/dynamic-profile/view/1886564","18-1886564")</f>
        <v>0</v>
      </c>
      <c r="B438" t="s">
        <v>60</v>
      </c>
      <c r="C438" t="s">
        <v>82</v>
      </c>
      <c r="D438" t="s">
        <v>189</v>
      </c>
      <c r="E438" t="s">
        <v>282</v>
      </c>
      <c r="F438" t="s">
        <v>677</v>
      </c>
      <c r="G438" t="s">
        <v>1750</v>
      </c>
      <c r="H438" t="s">
        <v>2901</v>
      </c>
      <c r="I438" t="s">
        <v>3927</v>
      </c>
      <c r="J438" t="s">
        <v>4222</v>
      </c>
      <c r="K438">
        <v>11433</v>
      </c>
      <c r="L438" t="s">
        <v>4275</v>
      </c>
      <c r="M438" t="s">
        <v>4275</v>
      </c>
      <c r="O438" t="s">
        <v>4281</v>
      </c>
      <c r="P438" t="s">
        <v>4711</v>
      </c>
      <c r="Q438" t="s">
        <v>5732</v>
      </c>
      <c r="R438" t="s">
        <v>5753</v>
      </c>
      <c r="S438" t="s">
        <v>5759</v>
      </c>
      <c r="T438" t="s">
        <v>4276</v>
      </c>
      <c r="V438" t="s">
        <v>5767</v>
      </c>
      <c r="W438" t="s">
        <v>5774</v>
      </c>
      <c r="X438" t="s">
        <v>189</v>
      </c>
      <c r="Y438">
        <v>1550</v>
      </c>
      <c r="Z438" t="s">
        <v>5803</v>
      </c>
      <c r="AA438" t="s">
        <v>5804</v>
      </c>
      <c r="AB438" t="s">
        <v>5821</v>
      </c>
      <c r="AC438" t="s">
        <v>6248</v>
      </c>
      <c r="AD438" t="s">
        <v>7465</v>
      </c>
      <c r="AE438" t="s">
        <v>8253</v>
      </c>
      <c r="AF438">
        <v>0</v>
      </c>
      <c r="AG438" t="s">
        <v>9270</v>
      </c>
      <c r="AH438" t="s">
        <v>4280</v>
      </c>
      <c r="AI438">
        <v>2</v>
      </c>
      <c r="AJ438">
        <v>3</v>
      </c>
      <c r="AK438">
        <v>0</v>
      </c>
      <c r="AL438">
        <v>45.04</v>
      </c>
      <c r="AO438" t="s">
        <v>1425</v>
      </c>
      <c r="AP438">
        <v>9360</v>
      </c>
      <c r="AV438">
        <v>0.3</v>
      </c>
      <c r="AW438" t="s">
        <v>54</v>
      </c>
    </row>
    <row r="439" spans="1:49">
      <c r="A439" s="1">
        <f>HYPERLINK("https://cms.ls-nyc.org/matter/dynamic-profile/view/1873827","18-1873827")</f>
        <v>0</v>
      </c>
      <c r="B439" t="s">
        <v>60</v>
      </c>
      <c r="C439" t="s">
        <v>82</v>
      </c>
      <c r="D439" t="s">
        <v>112</v>
      </c>
      <c r="E439" t="s">
        <v>235</v>
      </c>
      <c r="F439" t="s">
        <v>410</v>
      </c>
      <c r="G439" t="s">
        <v>1751</v>
      </c>
      <c r="H439" t="s">
        <v>2902</v>
      </c>
      <c r="I439" t="s">
        <v>4004</v>
      </c>
      <c r="J439" t="s">
        <v>4265</v>
      </c>
      <c r="K439">
        <v>11357</v>
      </c>
      <c r="L439" t="s">
        <v>4275</v>
      </c>
      <c r="M439" t="s">
        <v>4275</v>
      </c>
      <c r="O439" t="s">
        <v>4282</v>
      </c>
      <c r="P439" t="s">
        <v>4712</v>
      </c>
      <c r="Q439" t="s">
        <v>5731</v>
      </c>
      <c r="R439" t="s">
        <v>5753</v>
      </c>
      <c r="S439" t="s">
        <v>5759</v>
      </c>
      <c r="T439" t="s">
        <v>4276</v>
      </c>
      <c r="V439" t="s">
        <v>5767</v>
      </c>
      <c r="W439" t="s">
        <v>5772</v>
      </c>
      <c r="X439" t="s">
        <v>112</v>
      </c>
      <c r="Y439">
        <v>1349</v>
      </c>
      <c r="Z439" t="s">
        <v>5803</v>
      </c>
      <c r="AA439" t="s">
        <v>5804</v>
      </c>
      <c r="AB439" t="s">
        <v>5821</v>
      </c>
      <c r="AC439" t="s">
        <v>6249</v>
      </c>
      <c r="AD439" t="s">
        <v>7466</v>
      </c>
      <c r="AE439" t="s">
        <v>8254</v>
      </c>
      <c r="AF439">
        <v>32</v>
      </c>
      <c r="AG439" t="s">
        <v>9272</v>
      </c>
      <c r="AH439" t="s">
        <v>9287</v>
      </c>
      <c r="AI439">
        <v>51</v>
      </c>
      <c r="AJ439">
        <v>1</v>
      </c>
      <c r="AK439">
        <v>0</v>
      </c>
      <c r="AL439">
        <v>50.51</v>
      </c>
      <c r="AP439">
        <v>6132</v>
      </c>
      <c r="AV439">
        <v>0.2</v>
      </c>
      <c r="AW439" t="s">
        <v>74</v>
      </c>
    </row>
    <row r="440" spans="1:49">
      <c r="A440" s="1">
        <f>HYPERLINK("https://cms.ls-nyc.org/matter/dynamic-profile/view/1882915","18-1882915")</f>
        <v>0</v>
      </c>
      <c r="B440" t="s">
        <v>60</v>
      </c>
      <c r="C440" t="s">
        <v>82</v>
      </c>
      <c r="D440" t="s">
        <v>223</v>
      </c>
      <c r="E440" t="s">
        <v>207</v>
      </c>
      <c r="F440" t="s">
        <v>678</v>
      </c>
      <c r="G440" t="s">
        <v>1510</v>
      </c>
      <c r="H440" t="s">
        <v>2903</v>
      </c>
      <c r="I440" t="s">
        <v>3867</v>
      </c>
      <c r="J440" t="s">
        <v>4241</v>
      </c>
      <c r="K440">
        <v>11368</v>
      </c>
      <c r="L440" t="s">
        <v>4275</v>
      </c>
      <c r="M440" t="s">
        <v>4275</v>
      </c>
      <c r="O440" t="s">
        <v>4282</v>
      </c>
      <c r="P440" t="s">
        <v>4713</v>
      </c>
      <c r="Q440" t="s">
        <v>5731</v>
      </c>
      <c r="R440" t="s">
        <v>5753</v>
      </c>
      <c r="S440" t="s">
        <v>5759</v>
      </c>
      <c r="T440" t="s">
        <v>4276</v>
      </c>
      <c r="V440" t="s">
        <v>5767</v>
      </c>
      <c r="X440" t="s">
        <v>154</v>
      </c>
      <c r="Y440">
        <v>1500</v>
      </c>
      <c r="Z440" t="s">
        <v>5803</v>
      </c>
      <c r="AA440" t="s">
        <v>5804</v>
      </c>
      <c r="AB440" t="s">
        <v>5821</v>
      </c>
      <c r="AC440" t="s">
        <v>6250</v>
      </c>
      <c r="AD440" t="s">
        <v>7467</v>
      </c>
      <c r="AE440" t="s">
        <v>8255</v>
      </c>
      <c r="AF440">
        <v>0</v>
      </c>
      <c r="AG440" t="s">
        <v>9270</v>
      </c>
      <c r="AH440" t="s">
        <v>4280</v>
      </c>
      <c r="AI440">
        <v>6</v>
      </c>
      <c r="AJ440">
        <v>1</v>
      </c>
      <c r="AK440">
        <v>1</v>
      </c>
      <c r="AL440">
        <v>51.03</v>
      </c>
      <c r="AO440" t="s">
        <v>9298</v>
      </c>
      <c r="AP440">
        <v>8400</v>
      </c>
      <c r="AV440">
        <v>0.75</v>
      </c>
      <c r="AW440" t="s">
        <v>54</v>
      </c>
    </row>
    <row r="441" spans="1:49">
      <c r="A441" s="1">
        <f>HYPERLINK("https://cms.ls-nyc.org/matter/dynamic-profile/view/1882082","18-1882082")</f>
        <v>0</v>
      </c>
      <c r="B441" t="s">
        <v>60</v>
      </c>
      <c r="C441" t="s">
        <v>82</v>
      </c>
      <c r="D441" t="s">
        <v>201</v>
      </c>
      <c r="E441" t="s">
        <v>189</v>
      </c>
      <c r="F441" t="s">
        <v>679</v>
      </c>
      <c r="G441" t="s">
        <v>1752</v>
      </c>
      <c r="H441" t="s">
        <v>2904</v>
      </c>
      <c r="I441" t="s">
        <v>3909</v>
      </c>
      <c r="J441" t="s">
        <v>4245</v>
      </c>
      <c r="K441">
        <v>11418</v>
      </c>
      <c r="L441" t="s">
        <v>4275</v>
      </c>
      <c r="M441" t="s">
        <v>4275</v>
      </c>
      <c r="O441" t="s">
        <v>4282</v>
      </c>
      <c r="P441" t="s">
        <v>4714</v>
      </c>
      <c r="Q441" t="s">
        <v>5732</v>
      </c>
      <c r="R441" t="s">
        <v>5753</v>
      </c>
      <c r="S441" t="s">
        <v>5759</v>
      </c>
      <c r="T441" t="s">
        <v>4276</v>
      </c>
      <c r="V441" t="s">
        <v>5767</v>
      </c>
      <c r="W441" t="s">
        <v>5772</v>
      </c>
      <c r="X441" t="s">
        <v>201</v>
      </c>
      <c r="Y441">
        <v>1400</v>
      </c>
      <c r="Z441" t="s">
        <v>5803</v>
      </c>
      <c r="AA441" t="s">
        <v>5804</v>
      </c>
      <c r="AB441" t="s">
        <v>5821</v>
      </c>
      <c r="AC441" t="s">
        <v>6251</v>
      </c>
      <c r="AE441" t="s">
        <v>8256</v>
      </c>
      <c r="AF441">
        <v>2</v>
      </c>
      <c r="AG441" t="s">
        <v>9269</v>
      </c>
      <c r="AH441" t="s">
        <v>4280</v>
      </c>
      <c r="AI441">
        <v>4</v>
      </c>
      <c r="AJ441">
        <v>2</v>
      </c>
      <c r="AK441">
        <v>1</v>
      </c>
      <c r="AL441">
        <v>51.97</v>
      </c>
      <c r="AO441" t="s">
        <v>1425</v>
      </c>
      <c r="AP441">
        <v>10800</v>
      </c>
      <c r="AV441">
        <v>0.25</v>
      </c>
      <c r="AW441" t="s">
        <v>73</v>
      </c>
    </row>
    <row r="442" spans="1:49">
      <c r="A442" s="1">
        <f>HYPERLINK("https://cms.ls-nyc.org/matter/dynamic-profile/view/1878777","18-1878777")</f>
        <v>0</v>
      </c>
      <c r="B442" t="s">
        <v>60</v>
      </c>
      <c r="C442" t="s">
        <v>82</v>
      </c>
      <c r="D442" t="s">
        <v>215</v>
      </c>
      <c r="E442" t="s">
        <v>189</v>
      </c>
      <c r="F442" t="s">
        <v>680</v>
      </c>
      <c r="G442" t="s">
        <v>1501</v>
      </c>
      <c r="H442" t="s">
        <v>2905</v>
      </c>
      <c r="I442" t="s">
        <v>4005</v>
      </c>
      <c r="J442" t="s">
        <v>4229</v>
      </c>
      <c r="K442">
        <v>11358</v>
      </c>
      <c r="L442" t="s">
        <v>4275</v>
      </c>
      <c r="M442" t="s">
        <v>4275</v>
      </c>
      <c r="O442" t="s">
        <v>4282</v>
      </c>
      <c r="P442" t="s">
        <v>4715</v>
      </c>
      <c r="Q442" t="s">
        <v>5732</v>
      </c>
      <c r="R442" t="s">
        <v>5753</v>
      </c>
      <c r="S442" t="s">
        <v>5759</v>
      </c>
      <c r="T442" t="s">
        <v>4276</v>
      </c>
      <c r="V442" t="s">
        <v>5767</v>
      </c>
      <c r="W442" t="s">
        <v>5772</v>
      </c>
      <c r="X442" t="s">
        <v>154</v>
      </c>
      <c r="Y442">
        <v>1900</v>
      </c>
      <c r="Z442" t="s">
        <v>5803</v>
      </c>
      <c r="AA442" t="s">
        <v>5804</v>
      </c>
      <c r="AB442" t="s">
        <v>5821</v>
      </c>
      <c r="AC442" t="s">
        <v>6252</v>
      </c>
      <c r="AE442" t="s">
        <v>8257</v>
      </c>
      <c r="AF442">
        <v>3</v>
      </c>
      <c r="AG442" t="s">
        <v>9269</v>
      </c>
      <c r="AH442" t="s">
        <v>4280</v>
      </c>
      <c r="AI442">
        <v>17</v>
      </c>
      <c r="AJ442">
        <v>3</v>
      </c>
      <c r="AK442">
        <v>0</v>
      </c>
      <c r="AL442">
        <v>58.31</v>
      </c>
      <c r="AO442" t="s">
        <v>9298</v>
      </c>
      <c r="AP442">
        <v>12116</v>
      </c>
      <c r="AV442">
        <v>0.2</v>
      </c>
      <c r="AW442" t="s">
        <v>54</v>
      </c>
    </row>
    <row r="443" spans="1:49">
      <c r="A443" s="1">
        <f>HYPERLINK("https://cms.ls-nyc.org/matter/dynamic-profile/view/1880049","18-1880049")</f>
        <v>0</v>
      </c>
      <c r="B443" t="s">
        <v>60</v>
      </c>
      <c r="C443" t="s">
        <v>82</v>
      </c>
      <c r="D443" t="s">
        <v>184</v>
      </c>
      <c r="E443" t="s">
        <v>301</v>
      </c>
      <c r="F443" t="s">
        <v>681</v>
      </c>
      <c r="G443" t="s">
        <v>1753</v>
      </c>
      <c r="H443" t="s">
        <v>2906</v>
      </c>
      <c r="I443" t="s">
        <v>4006</v>
      </c>
      <c r="J443" t="s">
        <v>4222</v>
      </c>
      <c r="K443">
        <v>11434</v>
      </c>
      <c r="L443" t="s">
        <v>4275</v>
      </c>
      <c r="M443" t="s">
        <v>4275</v>
      </c>
      <c r="O443" t="s">
        <v>4281</v>
      </c>
      <c r="P443" t="s">
        <v>4716</v>
      </c>
      <c r="Q443" t="s">
        <v>5734</v>
      </c>
      <c r="R443" t="s">
        <v>5753</v>
      </c>
      <c r="S443" t="s">
        <v>5759</v>
      </c>
      <c r="T443" t="s">
        <v>4276</v>
      </c>
      <c r="V443" t="s">
        <v>5767</v>
      </c>
      <c r="W443" t="s">
        <v>5772</v>
      </c>
      <c r="X443" t="s">
        <v>184</v>
      </c>
      <c r="Y443">
        <v>275</v>
      </c>
      <c r="Z443" t="s">
        <v>5803</v>
      </c>
      <c r="AA443" t="s">
        <v>5804</v>
      </c>
      <c r="AB443" t="s">
        <v>5821</v>
      </c>
      <c r="AC443" t="s">
        <v>6253</v>
      </c>
      <c r="AE443" t="s">
        <v>8258</v>
      </c>
      <c r="AF443">
        <v>64</v>
      </c>
      <c r="AH443" t="s">
        <v>4280</v>
      </c>
      <c r="AI443">
        <v>8</v>
      </c>
      <c r="AJ443">
        <v>2</v>
      </c>
      <c r="AK443">
        <v>0</v>
      </c>
      <c r="AL443">
        <v>58.32</v>
      </c>
      <c r="AO443" t="s">
        <v>1425</v>
      </c>
      <c r="AP443">
        <v>9600</v>
      </c>
      <c r="AV443">
        <v>0.5</v>
      </c>
      <c r="AW443" t="s">
        <v>73</v>
      </c>
    </row>
    <row r="444" spans="1:49">
      <c r="A444" s="1">
        <f>HYPERLINK("https://cms.ls-nyc.org/matter/dynamic-profile/view/1873121","18-1873121")</f>
        <v>0</v>
      </c>
      <c r="B444" t="s">
        <v>60</v>
      </c>
      <c r="C444" t="s">
        <v>82</v>
      </c>
      <c r="D444" t="s">
        <v>224</v>
      </c>
      <c r="E444" t="s">
        <v>265</v>
      </c>
      <c r="F444" t="s">
        <v>682</v>
      </c>
      <c r="G444" t="s">
        <v>1754</v>
      </c>
      <c r="H444" t="s">
        <v>2907</v>
      </c>
      <c r="I444" t="s">
        <v>3933</v>
      </c>
      <c r="J444" t="s">
        <v>4240</v>
      </c>
      <c r="K444">
        <v>11373</v>
      </c>
      <c r="L444" t="s">
        <v>4275</v>
      </c>
      <c r="M444" t="s">
        <v>4275</v>
      </c>
      <c r="O444" t="s">
        <v>4283</v>
      </c>
      <c r="P444" t="s">
        <v>4280</v>
      </c>
      <c r="Q444" t="s">
        <v>4698</v>
      </c>
      <c r="R444" t="s">
        <v>5753</v>
      </c>
      <c r="S444" t="s">
        <v>5759</v>
      </c>
      <c r="T444" t="s">
        <v>4276</v>
      </c>
      <c r="V444" t="s">
        <v>5767</v>
      </c>
      <c r="W444" t="s">
        <v>5772</v>
      </c>
      <c r="X444" t="s">
        <v>118</v>
      </c>
      <c r="Y444">
        <v>849</v>
      </c>
      <c r="Z444" t="s">
        <v>5803</v>
      </c>
      <c r="AA444" t="s">
        <v>5811</v>
      </c>
      <c r="AB444" t="s">
        <v>5821</v>
      </c>
      <c r="AC444" t="s">
        <v>6254</v>
      </c>
      <c r="AD444" t="s">
        <v>7289</v>
      </c>
      <c r="AE444" t="s">
        <v>7289</v>
      </c>
      <c r="AF444">
        <v>66</v>
      </c>
      <c r="AG444" t="s">
        <v>9272</v>
      </c>
      <c r="AH444" t="s">
        <v>9287</v>
      </c>
      <c r="AI444">
        <v>40</v>
      </c>
      <c r="AJ444">
        <v>2</v>
      </c>
      <c r="AK444">
        <v>0</v>
      </c>
      <c r="AL444">
        <v>63.06</v>
      </c>
      <c r="AO444" t="s">
        <v>1425</v>
      </c>
      <c r="AP444">
        <v>10380</v>
      </c>
      <c r="AV444">
        <v>4.9</v>
      </c>
      <c r="AW444" t="s">
        <v>73</v>
      </c>
    </row>
    <row r="445" spans="1:49">
      <c r="A445" s="1">
        <f>HYPERLINK("https://cms.ls-nyc.org/matter/dynamic-profile/view/1888036","19-1888036")</f>
        <v>0</v>
      </c>
      <c r="B445" t="s">
        <v>60</v>
      </c>
      <c r="C445" t="s">
        <v>83</v>
      </c>
      <c r="D445" t="s">
        <v>152</v>
      </c>
      <c r="F445" t="s">
        <v>683</v>
      </c>
      <c r="G445" t="s">
        <v>1755</v>
      </c>
      <c r="H445" t="s">
        <v>2908</v>
      </c>
      <c r="I445">
        <v>1</v>
      </c>
      <c r="J445" t="s">
        <v>4231</v>
      </c>
      <c r="K445">
        <v>11419</v>
      </c>
      <c r="L445" t="s">
        <v>4275</v>
      </c>
      <c r="M445" t="s">
        <v>4275</v>
      </c>
      <c r="O445" t="s">
        <v>4282</v>
      </c>
      <c r="P445" t="s">
        <v>4717</v>
      </c>
      <c r="Q445" t="s">
        <v>5732</v>
      </c>
      <c r="R445" t="s">
        <v>5753</v>
      </c>
      <c r="T445" t="s">
        <v>4276</v>
      </c>
      <c r="V445" t="s">
        <v>5767</v>
      </c>
      <c r="W445" t="s">
        <v>5772</v>
      </c>
      <c r="Y445">
        <v>1841</v>
      </c>
      <c r="Z445" t="s">
        <v>5803</v>
      </c>
      <c r="AA445" t="s">
        <v>5804</v>
      </c>
      <c r="AC445" t="s">
        <v>6255</v>
      </c>
      <c r="AD445" t="s">
        <v>7468</v>
      </c>
      <c r="AE445" t="s">
        <v>8259</v>
      </c>
      <c r="AF445">
        <v>0</v>
      </c>
      <c r="AG445" t="s">
        <v>9270</v>
      </c>
      <c r="AH445" t="s">
        <v>9282</v>
      </c>
      <c r="AI445">
        <v>14</v>
      </c>
      <c r="AJ445">
        <v>3</v>
      </c>
      <c r="AK445">
        <v>1</v>
      </c>
      <c r="AL445">
        <v>69.04000000000001</v>
      </c>
      <c r="AO445" t="s">
        <v>9298</v>
      </c>
      <c r="AP445">
        <v>17328</v>
      </c>
      <c r="AV445">
        <v>0.1</v>
      </c>
      <c r="AW445" t="s">
        <v>54</v>
      </c>
    </row>
    <row r="446" spans="1:49">
      <c r="A446" s="1">
        <f>HYPERLINK("https://cms.ls-nyc.org/matter/dynamic-profile/view/1894233","19-1894233")</f>
        <v>0</v>
      </c>
      <c r="B446" t="s">
        <v>60</v>
      </c>
      <c r="C446" t="s">
        <v>83</v>
      </c>
      <c r="D446" t="s">
        <v>211</v>
      </c>
      <c r="F446" t="s">
        <v>684</v>
      </c>
      <c r="G446" t="s">
        <v>1756</v>
      </c>
      <c r="H446" t="s">
        <v>2909</v>
      </c>
      <c r="I446" t="s">
        <v>3867</v>
      </c>
      <c r="J446" t="s">
        <v>4257</v>
      </c>
      <c r="K446">
        <v>11379</v>
      </c>
      <c r="L446" t="s">
        <v>4275</v>
      </c>
      <c r="M446" t="s">
        <v>4275</v>
      </c>
      <c r="O446" t="s">
        <v>4282</v>
      </c>
      <c r="P446" t="s">
        <v>4718</v>
      </c>
      <c r="Q446" t="s">
        <v>5732</v>
      </c>
      <c r="R446" t="s">
        <v>5753</v>
      </c>
      <c r="T446" t="s">
        <v>4276</v>
      </c>
      <c r="V446" t="s">
        <v>5767</v>
      </c>
      <c r="X446" t="s">
        <v>211</v>
      </c>
      <c r="Y446">
        <v>1800</v>
      </c>
      <c r="Z446" t="s">
        <v>5803</v>
      </c>
      <c r="AA446" t="s">
        <v>5804</v>
      </c>
      <c r="AC446" t="s">
        <v>6256</v>
      </c>
      <c r="AD446" t="s">
        <v>7469</v>
      </c>
      <c r="AE446" t="s">
        <v>8260</v>
      </c>
      <c r="AF446">
        <v>0</v>
      </c>
      <c r="AG446" t="s">
        <v>9270</v>
      </c>
      <c r="AH446" t="s">
        <v>4280</v>
      </c>
      <c r="AI446">
        <v>4</v>
      </c>
      <c r="AJ446">
        <v>1</v>
      </c>
      <c r="AK446">
        <v>3</v>
      </c>
      <c r="AL446">
        <v>69.90000000000001</v>
      </c>
      <c r="AO446" t="s">
        <v>1425</v>
      </c>
      <c r="AP446">
        <v>18000</v>
      </c>
      <c r="AV446">
        <v>0.8</v>
      </c>
      <c r="AW446" t="s">
        <v>54</v>
      </c>
    </row>
    <row r="447" spans="1:49">
      <c r="A447" s="1">
        <f>HYPERLINK("https://cms.ls-nyc.org/matter/dynamic-profile/view/1873809","18-1873809")</f>
        <v>0</v>
      </c>
      <c r="B447" t="s">
        <v>60</v>
      </c>
      <c r="C447" t="s">
        <v>82</v>
      </c>
      <c r="D447" t="s">
        <v>112</v>
      </c>
      <c r="E447" t="s">
        <v>235</v>
      </c>
      <c r="F447" t="s">
        <v>685</v>
      </c>
      <c r="G447" t="s">
        <v>1757</v>
      </c>
      <c r="H447" t="s">
        <v>2910</v>
      </c>
      <c r="I447" t="s">
        <v>3931</v>
      </c>
      <c r="J447" t="s">
        <v>4231</v>
      </c>
      <c r="K447">
        <v>11419</v>
      </c>
      <c r="L447" t="s">
        <v>4275</v>
      </c>
      <c r="M447" t="s">
        <v>4275</v>
      </c>
      <c r="O447" t="s">
        <v>4282</v>
      </c>
      <c r="P447" t="s">
        <v>4719</v>
      </c>
      <c r="Q447" t="s">
        <v>5732</v>
      </c>
      <c r="R447" t="s">
        <v>5753</v>
      </c>
      <c r="S447" t="s">
        <v>5759</v>
      </c>
      <c r="T447" t="s">
        <v>4276</v>
      </c>
      <c r="V447" t="s">
        <v>5767</v>
      </c>
      <c r="W447" t="s">
        <v>5772</v>
      </c>
      <c r="X447" t="s">
        <v>112</v>
      </c>
      <c r="Y447">
        <v>1100</v>
      </c>
      <c r="Z447" t="s">
        <v>5803</v>
      </c>
      <c r="AA447" t="s">
        <v>5804</v>
      </c>
      <c r="AB447" t="s">
        <v>5821</v>
      </c>
      <c r="AC447" t="s">
        <v>6257</v>
      </c>
      <c r="AD447" t="s">
        <v>7470</v>
      </c>
      <c r="AE447" t="s">
        <v>8261</v>
      </c>
      <c r="AF447">
        <v>4</v>
      </c>
      <c r="AG447" t="s">
        <v>9269</v>
      </c>
      <c r="AH447" t="s">
        <v>4280</v>
      </c>
      <c r="AI447">
        <v>20</v>
      </c>
      <c r="AJ447">
        <v>3</v>
      </c>
      <c r="AK447">
        <v>2</v>
      </c>
      <c r="AL447">
        <v>70.7</v>
      </c>
      <c r="AO447" t="s">
        <v>1425</v>
      </c>
      <c r="AP447">
        <v>20800</v>
      </c>
      <c r="AV447">
        <v>0.15</v>
      </c>
      <c r="AW447" t="s">
        <v>73</v>
      </c>
    </row>
    <row r="448" spans="1:49">
      <c r="A448" s="1">
        <f>HYPERLINK("https://cms.ls-nyc.org/matter/dynamic-profile/view/1878038","18-1878038")</f>
        <v>0</v>
      </c>
      <c r="B448" t="s">
        <v>60</v>
      </c>
      <c r="C448" t="s">
        <v>83</v>
      </c>
      <c r="D448" t="s">
        <v>126</v>
      </c>
      <c r="F448" t="s">
        <v>686</v>
      </c>
      <c r="G448" t="s">
        <v>1758</v>
      </c>
      <c r="H448" t="s">
        <v>2911</v>
      </c>
      <c r="I448">
        <v>509</v>
      </c>
      <c r="J448" t="s">
        <v>4229</v>
      </c>
      <c r="K448">
        <v>11354</v>
      </c>
      <c r="L448" t="s">
        <v>4276</v>
      </c>
      <c r="M448" t="s">
        <v>4275</v>
      </c>
      <c r="O448" t="s">
        <v>4283</v>
      </c>
      <c r="P448" t="s">
        <v>4700</v>
      </c>
      <c r="Q448" t="s">
        <v>4698</v>
      </c>
      <c r="R448" t="s">
        <v>5756</v>
      </c>
      <c r="T448" t="s">
        <v>4276</v>
      </c>
      <c r="V448" t="s">
        <v>5767</v>
      </c>
      <c r="W448" t="s">
        <v>5772</v>
      </c>
      <c r="Y448">
        <v>541</v>
      </c>
      <c r="Z448" t="s">
        <v>5803</v>
      </c>
      <c r="AA448" t="s">
        <v>5808</v>
      </c>
      <c r="AC448" t="s">
        <v>6258</v>
      </c>
      <c r="AF448">
        <v>80</v>
      </c>
      <c r="AG448" t="s">
        <v>9270</v>
      </c>
      <c r="AH448" t="s">
        <v>4280</v>
      </c>
      <c r="AI448">
        <v>23</v>
      </c>
      <c r="AJ448">
        <v>1</v>
      </c>
      <c r="AK448">
        <v>0</v>
      </c>
      <c r="AL448">
        <v>70.70999999999999</v>
      </c>
      <c r="AO448" t="s">
        <v>9298</v>
      </c>
      <c r="AP448">
        <v>8584</v>
      </c>
      <c r="AV448">
        <v>2.15</v>
      </c>
      <c r="AW448" t="s">
        <v>9549</v>
      </c>
    </row>
    <row r="449" spans="1:49">
      <c r="A449" s="1">
        <f>HYPERLINK("https://cms.ls-nyc.org/matter/dynamic-profile/view/1888063","19-1888063")</f>
        <v>0</v>
      </c>
      <c r="B449" t="s">
        <v>60</v>
      </c>
      <c r="C449" t="s">
        <v>83</v>
      </c>
      <c r="D449" t="s">
        <v>152</v>
      </c>
      <c r="F449" t="s">
        <v>687</v>
      </c>
      <c r="G449" t="s">
        <v>1759</v>
      </c>
      <c r="H449" t="s">
        <v>2912</v>
      </c>
      <c r="I449" t="s">
        <v>3850</v>
      </c>
      <c r="J449" t="s">
        <v>4247</v>
      </c>
      <c r="K449">
        <v>11415</v>
      </c>
      <c r="L449" t="s">
        <v>4275</v>
      </c>
      <c r="M449" t="s">
        <v>4275</v>
      </c>
      <c r="O449" t="s">
        <v>4282</v>
      </c>
      <c r="P449" t="s">
        <v>4720</v>
      </c>
      <c r="Q449" t="s">
        <v>5732</v>
      </c>
      <c r="R449" t="s">
        <v>5753</v>
      </c>
      <c r="T449" t="s">
        <v>4276</v>
      </c>
      <c r="V449" t="s">
        <v>5767</v>
      </c>
      <c r="Y449">
        <v>1500</v>
      </c>
      <c r="Z449" t="s">
        <v>5803</v>
      </c>
      <c r="AA449" t="s">
        <v>5804</v>
      </c>
      <c r="AC449" t="s">
        <v>6259</v>
      </c>
      <c r="AD449" t="s">
        <v>7471</v>
      </c>
      <c r="AE449" t="s">
        <v>8262</v>
      </c>
      <c r="AF449">
        <v>48</v>
      </c>
      <c r="AG449" t="s">
        <v>9272</v>
      </c>
      <c r="AH449" t="s">
        <v>4280</v>
      </c>
      <c r="AI449">
        <v>3</v>
      </c>
      <c r="AJ449">
        <v>1</v>
      </c>
      <c r="AK449">
        <v>0</v>
      </c>
      <c r="AL449">
        <v>71.86</v>
      </c>
      <c r="AO449" t="s">
        <v>9313</v>
      </c>
      <c r="AP449">
        <v>8724</v>
      </c>
      <c r="AV449">
        <v>0.2</v>
      </c>
      <c r="AW449" t="s">
        <v>54</v>
      </c>
    </row>
    <row r="450" spans="1:49">
      <c r="A450" s="1">
        <f>HYPERLINK("https://cms.ls-nyc.org/matter/dynamic-profile/view/1876588","18-1876588")</f>
        <v>0</v>
      </c>
      <c r="B450" t="s">
        <v>60</v>
      </c>
      <c r="C450" t="s">
        <v>82</v>
      </c>
      <c r="D450" t="s">
        <v>178</v>
      </c>
      <c r="E450" t="s">
        <v>189</v>
      </c>
      <c r="F450" t="s">
        <v>688</v>
      </c>
      <c r="G450" t="s">
        <v>1760</v>
      </c>
      <c r="H450" t="s">
        <v>2913</v>
      </c>
      <c r="I450">
        <v>1005</v>
      </c>
      <c r="J450" t="s">
        <v>4254</v>
      </c>
      <c r="K450">
        <v>11692</v>
      </c>
      <c r="L450" t="s">
        <v>4275</v>
      </c>
      <c r="M450" t="s">
        <v>4275</v>
      </c>
      <c r="O450" t="s">
        <v>4283</v>
      </c>
      <c r="P450" t="s">
        <v>4721</v>
      </c>
      <c r="Q450" t="s">
        <v>5731</v>
      </c>
      <c r="R450" t="s">
        <v>5753</v>
      </c>
      <c r="S450" t="s">
        <v>5759</v>
      </c>
      <c r="T450" t="s">
        <v>4276</v>
      </c>
      <c r="V450" t="s">
        <v>5767</v>
      </c>
      <c r="W450" t="s">
        <v>5771</v>
      </c>
      <c r="X450" t="s">
        <v>178</v>
      </c>
      <c r="Y450">
        <v>1400</v>
      </c>
      <c r="Z450" t="s">
        <v>5803</v>
      </c>
      <c r="AA450" t="s">
        <v>5804</v>
      </c>
      <c r="AB450" t="s">
        <v>5821</v>
      </c>
      <c r="AC450" t="s">
        <v>6260</v>
      </c>
      <c r="AD450" t="s">
        <v>7472</v>
      </c>
      <c r="AE450" t="s">
        <v>8263</v>
      </c>
      <c r="AF450">
        <v>216</v>
      </c>
      <c r="AG450" t="s">
        <v>9273</v>
      </c>
      <c r="AH450" t="s">
        <v>4280</v>
      </c>
      <c r="AI450">
        <v>4</v>
      </c>
      <c r="AJ450">
        <v>1</v>
      </c>
      <c r="AK450">
        <v>0</v>
      </c>
      <c r="AL450">
        <v>72.55</v>
      </c>
      <c r="AO450" t="s">
        <v>1425</v>
      </c>
      <c r="AP450">
        <v>8808</v>
      </c>
      <c r="AV450">
        <v>0.1</v>
      </c>
      <c r="AW450" t="s">
        <v>73</v>
      </c>
    </row>
    <row r="451" spans="1:49">
      <c r="A451" s="1">
        <f>HYPERLINK("https://cms.ls-nyc.org/matter/dynamic-profile/view/1877596","18-1877596")</f>
        <v>0</v>
      </c>
      <c r="B451" t="s">
        <v>60</v>
      </c>
      <c r="C451" t="s">
        <v>82</v>
      </c>
      <c r="D451" t="s">
        <v>180</v>
      </c>
      <c r="E451" t="s">
        <v>189</v>
      </c>
      <c r="F451" t="s">
        <v>689</v>
      </c>
      <c r="G451" t="s">
        <v>1761</v>
      </c>
      <c r="H451" t="s">
        <v>2914</v>
      </c>
      <c r="I451" t="s">
        <v>3947</v>
      </c>
      <c r="J451" t="s">
        <v>4222</v>
      </c>
      <c r="K451">
        <v>11433</v>
      </c>
      <c r="L451" t="s">
        <v>4275</v>
      </c>
      <c r="M451" t="s">
        <v>4275</v>
      </c>
      <c r="O451" t="s">
        <v>4281</v>
      </c>
      <c r="P451" t="s">
        <v>4722</v>
      </c>
      <c r="Q451" t="s">
        <v>5732</v>
      </c>
      <c r="R451" t="s">
        <v>5753</v>
      </c>
      <c r="S451" t="s">
        <v>5759</v>
      </c>
      <c r="T451" t="s">
        <v>4276</v>
      </c>
      <c r="V451" t="s">
        <v>5767</v>
      </c>
      <c r="W451" t="s">
        <v>5772</v>
      </c>
      <c r="X451" t="s">
        <v>242</v>
      </c>
      <c r="Y451">
        <v>0</v>
      </c>
      <c r="Z451" t="s">
        <v>5803</v>
      </c>
      <c r="AA451" t="s">
        <v>5804</v>
      </c>
      <c r="AB451" t="s">
        <v>5821</v>
      </c>
      <c r="AC451" t="s">
        <v>6261</v>
      </c>
      <c r="AD451" t="s">
        <v>7473</v>
      </c>
      <c r="AE451" t="s">
        <v>8264</v>
      </c>
      <c r="AF451">
        <v>1</v>
      </c>
      <c r="AG451" t="s">
        <v>9269</v>
      </c>
      <c r="AH451" t="s">
        <v>4280</v>
      </c>
      <c r="AI451">
        <v>40</v>
      </c>
      <c r="AJ451">
        <v>1</v>
      </c>
      <c r="AK451">
        <v>0</v>
      </c>
      <c r="AL451">
        <v>74.14</v>
      </c>
      <c r="AO451" t="s">
        <v>1425</v>
      </c>
      <c r="AP451">
        <v>9000</v>
      </c>
      <c r="AV451">
        <v>1.2</v>
      </c>
      <c r="AW451" t="s">
        <v>73</v>
      </c>
    </row>
    <row r="452" spans="1:49">
      <c r="A452" s="1">
        <f>HYPERLINK("https://cms.ls-nyc.org/matter/dynamic-profile/view/1880367","18-1880367")</f>
        <v>0</v>
      </c>
      <c r="B452" t="s">
        <v>60</v>
      </c>
      <c r="C452" t="s">
        <v>82</v>
      </c>
      <c r="D452" t="s">
        <v>225</v>
      </c>
      <c r="E452" t="s">
        <v>189</v>
      </c>
      <c r="F452" t="s">
        <v>500</v>
      </c>
      <c r="G452" t="s">
        <v>1762</v>
      </c>
      <c r="H452" t="s">
        <v>2915</v>
      </c>
      <c r="I452" t="s">
        <v>3931</v>
      </c>
      <c r="J452" t="s">
        <v>4266</v>
      </c>
      <c r="K452">
        <v>11428</v>
      </c>
      <c r="L452" t="s">
        <v>4275</v>
      </c>
      <c r="M452" t="s">
        <v>4275</v>
      </c>
      <c r="O452" t="s">
        <v>4282</v>
      </c>
      <c r="P452" t="s">
        <v>4723</v>
      </c>
      <c r="Q452" t="s">
        <v>5731</v>
      </c>
      <c r="R452" t="s">
        <v>5753</v>
      </c>
      <c r="S452" t="s">
        <v>5759</v>
      </c>
      <c r="T452" t="s">
        <v>4276</v>
      </c>
      <c r="V452" t="s">
        <v>5767</v>
      </c>
      <c r="X452" t="s">
        <v>154</v>
      </c>
      <c r="Y452">
        <v>560</v>
      </c>
      <c r="Z452" t="s">
        <v>5803</v>
      </c>
      <c r="AA452" t="s">
        <v>5808</v>
      </c>
      <c r="AB452" t="s">
        <v>5821</v>
      </c>
      <c r="AC452" t="s">
        <v>6262</v>
      </c>
      <c r="AE452" t="s">
        <v>8265</v>
      </c>
      <c r="AF452">
        <v>6</v>
      </c>
      <c r="AI452">
        <v>4</v>
      </c>
      <c r="AJ452">
        <v>1</v>
      </c>
      <c r="AK452">
        <v>0</v>
      </c>
      <c r="AL452">
        <v>74.14</v>
      </c>
      <c r="AO452" t="s">
        <v>1425</v>
      </c>
      <c r="AP452">
        <v>9000</v>
      </c>
      <c r="AV452">
        <v>0.85</v>
      </c>
      <c r="AW452" t="s">
        <v>54</v>
      </c>
    </row>
    <row r="453" spans="1:49">
      <c r="A453" s="1">
        <f>HYPERLINK("https://cms.ls-nyc.org/matter/dynamic-profile/view/1871867","18-1871867")</f>
        <v>0</v>
      </c>
      <c r="B453" t="s">
        <v>60</v>
      </c>
      <c r="C453" t="s">
        <v>82</v>
      </c>
      <c r="D453" t="s">
        <v>226</v>
      </c>
      <c r="E453" t="s">
        <v>250</v>
      </c>
      <c r="F453" t="s">
        <v>690</v>
      </c>
      <c r="G453" t="s">
        <v>1763</v>
      </c>
      <c r="H453" t="s">
        <v>2916</v>
      </c>
      <c r="I453" t="s">
        <v>3870</v>
      </c>
      <c r="J453" t="s">
        <v>4222</v>
      </c>
      <c r="K453">
        <v>11432</v>
      </c>
      <c r="L453" t="s">
        <v>4275</v>
      </c>
      <c r="M453" t="s">
        <v>4275</v>
      </c>
      <c r="O453" t="s">
        <v>4283</v>
      </c>
      <c r="P453" t="s">
        <v>4381</v>
      </c>
      <c r="Q453" t="s">
        <v>5743</v>
      </c>
      <c r="R453" t="s">
        <v>5754</v>
      </c>
      <c r="S453" t="s">
        <v>5763</v>
      </c>
      <c r="T453" t="s">
        <v>4276</v>
      </c>
      <c r="V453" t="s">
        <v>5767</v>
      </c>
      <c r="W453" t="s">
        <v>5772</v>
      </c>
      <c r="X453" t="s">
        <v>226</v>
      </c>
      <c r="Y453">
        <v>1150</v>
      </c>
      <c r="Z453" t="s">
        <v>5803</v>
      </c>
      <c r="AA453" t="s">
        <v>5810</v>
      </c>
      <c r="AB453" t="s">
        <v>5824</v>
      </c>
      <c r="AC453" t="s">
        <v>6263</v>
      </c>
      <c r="AD453" t="s">
        <v>7474</v>
      </c>
      <c r="AE453" t="s">
        <v>8266</v>
      </c>
      <c r="AF453">
        <v>6</v>
      </c>
      <c r="AG453" t="s">
        <v>9272</v>
      </c>
      <c r="AH453" t="s">
        <v>4280</v>
      </c>
      <c r="AI453">
        <v>10</v>
      </c>
      <c r="AJ453">
        <v>1</v>
      </c>
      <c r="AK453">
        <v>0</v>
      </c>
      <c r="AL453">
        <v>75.72</v>
      </c>
      <c r="AO453" t="s">
        <v>9298</v>
      </c>
      <c r="AP453">
        <v>9192</v>
      </c>
      <c r="AS453" t="s">
        <v>9354</v>
      </c>
      <c r="AU453" t="s">
        <v>9398</v>
      </c>
      <c r="AV453">
        <v>2.95</v>
      </c>
      <c r="AW453" t="s">
        <v>54</v>
      </c>
    </row>
    <row r="454" spans="1:49">
      <c r="A454" s="1">
        <f>HYPERLINK("https://cms.ls-nyc.org/matter/dynamic-profile/view/1883601","18-1883601")</f>
        <v>0</v>
      </c>
      <c r="B454" t="s">
        <v>60</v>
      </c>
      <c r="C454" t="s">
        <v>83</v>
      </c>
      <c r="D454" t="s">
        <v>186</v>
      </c>
      <c r="F454" t="s">
        <v>691</v>
      </c>
      <c r="G454" t="s">
        <v>1764</v>
      </c>
      <c r="H454" t="s">
        <v>2917</v>
      </c>
      <c r="I454" t="s">
        <v>3867</v>
      </c>
      <c r="J454" t="s">
        <v>4241</v>
      </c>
      <c r="K454">
        <v>11368</v>
      </c>
      <c r="L454" t="s">
        <v>4275</v>
      </c>
      <c r="M454" t="s">
        <v>4275</v>
      </c>
      <c r="O454" t="s">
        <v>4282</v>
      </c>
      <c r="P454" t="s">
        <v>4724</v>
      </c>
      <c r="Q454" t="s">
        <v>5732</v>
      </c>
      <c r="R454" t="s">
        <v>5753</v>
      </c>
      <c r="T454" t="s">
        <v>4276</v>
      </c>
      <c r="V454" t="s">
        <v>5767</v>
      </c>
      <c r="Y454">
        <v>1500</v>
      </c>
      <c r="Z454" t="s">
        <v>5803</v>
      </c>
      <c r="AA454" t="s">
        <v>5804</v>
      </c>
      <c r="AC454" t="s">
        <v>6264</v>
      </c>
      <c r="AD454" t="s">
        <v>7475</v>
      </c>
      <c r="AE454" t="s">
        <v>8267</v>
      </c>
      <c r="AF454">
        <v>0</v>
      </c>
      <c r="AG454" t="s">
        <v>9270</v>
      </c>
      <c r="AH454" t="s">
        <v>4280</v>
      </c>
      <c r="AI454">
        <v>14</v>
      </c>
      <c r="AJ454">
        <v>3</v>
      </c>
      <c r="AK454">
        <v>2</v>
      </c>
      <c r="AL454">
        <v>80.90000000000001</v>
      </c>
      <c r="AO454" t="s">
        <v>9298</v>
      </c>
      <c r="AP454">
        <v>23800</v>
      </c>
      <c r="AV454">
        <v>0.2</v>
      </c>
      <c r="AW454" t="s">
        <v>54</v>
      </c>
    </row>
    <row r="455" spans="1:49">
      <c r="A455" s="1">
        <f>HYPERLINK("https://cms.ls-nyc.org/matter/dynamic-profile/view/1876601","18-1876601")</f>
        <v>0</v>
      </c>
      <c r="B455" t="s">
        <v>60</v>
      </c>
      <c r="C455" t="s">
        <v>82</v>
      </c>
      <c r="D455" t="s">
        <v>178</v>
      </c>
      <c r="E455" t="s">
        <v>189</v>
      </c>
      <c r="F455" t="s">
        <v>692</v>
      </c>
      <c r="G455" t="s">
        <v>1765</v>
      </c>
      <c r="H455" t="s">
        <v>2918</v>
      </c>
      <c r="I455" t="s">
        <v>4007</v>
      </c>
      <c r="J455" t="s">
        <v>4236</v>
      </c>
      <c r="K455">
        <v>11417</v>
      </c>
      <c r="L455" t="s">
        <v>4275</v>
      </c>
      <c r="M455" t="s">
        <v>4275</v>
      </c>
      <c r="O455" t="s">
        <v>4282</v>
      </c>
      <c r="P455" t="s">
        <v>4725</v>
      </c>
      <c r="Q455" t="s">
        <v>5732</v>
      </c>
      <c r="R455" t="s">
        <v>5753</v>
      </c>
      <c r="S455" t="s">
        <v>5759</v>
      </c>
      <c r="T455" t="s">
        <v>4276</v>
      </c>
      <c r="V455" t="s">
        <v>5767</v>
      </c>
      <c r="W455" t="s">
        <v>5772</v>
      </c>
      <c r="X455" t="s">
        <v>178</v>
      </c>
      <c r="Y455">
        <v>575</v>
      </c>
      <c r="Z455" t="s">
        <v>5803</v>
      </c>
      <c r="AA455" t="s">
        <v>5804</v>
      </c>
      <c r="AB455" t="s">
        <v>5821</v>
      </c>
      <c r="AC455" t="s">
        <v>6265</v>
      </c>
      <c r="AD455" t="s">
        <v>7476</v>
      </c>
      <c r="AE455" t="s">
        <v>8268</v>
      </c>
      <c r="AF455">
        <v>2</v>
      </c>
      <c r="AG455" t="s">
        <v>9269</v>
      </c>
      <c r="AH455" t="s">
        <v>4280</v>
      </c>
      <c r="AI455">
        <v>8</v>
      </c>
      <c r="AJ455">
        <v>1</v>
      </c>
      <c r="AK455">
        <v>0</v>
      </c>
      <c r="AL455">
        <v>82.04000000000001</v>
      </c>
      <c r="AO455" t="s">
        <v>1425</v>
      </c>
      <c r="AP455">
        <v>9960</v>
      </c>
      <c r="AV455">
        <v>0.55</v>
      </c>
      <c r="AW455" t="s">
        <v>73</v>
      </c>
    </row>
    <row r="456" spans="1:49">
      <c r="A456" s="1">
        <f>HYPERLINK("https://cms.ls-nyc.org/matter/dynamic-profile/view/1880588","18-1880588")</f>
        <v>0</v>
      </c>
      <c r="B456" t="s">
        <v>60</v>
      </c>
      <c r="C456" t="s">
        <v>82</v>
      </c>
      <c r="D456" t="s">
        <v>227</v>
      </c>
      <c r="E456" t="s">
        <v>189</v>
      </c>
      <c r="F456" t="s">
        <v>543</v>
      </c>
      <c r="G456" t="s">
        <v>1766</v>
      </c>
      <c r="H456" t="s">
        <v>2919</v>
      </c>
      <c r="I456">
        <v>1</v>
      </c>
      <c r="J456" t="s">
        <v>4243</v>
      </c>
      <c r="K456">
        <v>11691</v>
      </c>
      <c r="L456" t="s">
        <v>4275</v>
      </c>
      <c r="M456" t="s">
        <v>4275</v>
      </c>
      <c r="O456" t="s">
        <v>4283</v>
      </c>
      <c r="P456" t="s">
        <v>4726</v>
      </c>
      <c r="Q456" t="s">
        <v>5731</v>
      </c>
      <c r="R456" t="s">
        <v>5753</v>
      </c>
      <c r="S456" t="s">
        <v>5759</v>
      </c>
      <c r="T456" t="s">
        <v>4276</v>
      </c>
      <c r="V456" t="s">
        <v>5767</v>
      </c>
      <c r="W456" t="s">
        <v>5774</v>
      </c>
      <c r="X456" t="s">
        <v>227</v>
      </c>
      <c r="Y456">
        <v>1200</v>
      </c>
      <c r="Z456" t="s">
        <v>5803</v>
      </c>
      <c r="AA456" t="s">
        <v>5804</v>
      </c>
      <c r="AB456" t="s">
        <v>5821</v>
      </c>
      <c r="AC456" t="s">
        <v>6266</v>
      </c>
      <c r="AE456" t="s">
        <v>8269</v>
      </c>
      <c r="AF456">
        <v>2</v>
      </c>
      <c r="AG456" t="s">
        <v>9270</v>
      </c>
      <c r="AH456" t="s">
        <v>4280</v>
      </c>
      <c r="AI456">
        <v>3</v>
      </c>
      <c r="AJ456">
        <v>1</v>
      </c>
      <c r="AK456">
        <v>0</v>
      </c>
      <c r="AL456">
        <v>82.37</v>
      </c>
      <c r="AO456" t="s">
        <v>1425</v>
      </c>
      <c r="AP456">
        <v>10000</v>
      </c>
      <c r="AV456">
        <v>0.4</v>
      </c>
      <c r="AW456" t="s">
        <v>54</v>
      </c>
    </row>
    <row r="457" spans="1:49">
      <c r="A457" s="1">
        <f>HYPERLINK("https://cms.ls-nyc.org/matter/dynamic-profile/view/1883621","18-1883621")</f>
        <v>0</v>
      </c>
      <c r="B457" t="s">
        <v>60</v>
      </c>
      <c r="C457" t="s">
        <v>83</v>
      </c>
      <c r="D457" t="s">
        <v>186</v>
      </c>
      <c r="F457" t="s">
        <v>693</v>
      </c>
      <c r="G457" t="s">
        <v>1697</v>
      </c>
      <c r="H457" t="s">
        <v>2920</v>
      </c>
      <c r="J457" t="s">
        <v>4237</v>
      </c>
      <c r="K457">
        <v>11356</v>
      </c>
      <c r="L457" t="s">
        <v>4275</v>
      </c>
      <c r="M457" t="s">
        <v>4275</v>
      </c>
      <c r="O457" t="s">
        <v>4282</v>
      </c>
      <c r="P457" t="s">
        <v>4727</v>
      </c>
      <c r="Q457" t="s">
        <v>5732</v>
      </c>
      <c r="R457" t="s">
        <v>5753</v>
      </c>
      <c r="T457" t="s">
        <v>4276</v>
      </c>
      <c r="V457" t="s">
        <v>5767</v>
      </c>
      <c r="Y457">
        <v>825</v>
      </c>
      <c r="Z457" t="s">
        <v>5803</v>
      </c>
      <c r="AA457" t="s">
        <v>5804</v>
      </c>
      <c r="AC457" t="s">
        <v>6267</v>
      </c>
      <c r="AD457" t="s">
        <v>7477</v>
      </c>
      <c r="AE457" t="s">
        <v>8270</v>
      </c>
      <c r="AF457">
        <v>0</v>
      </c>
      <c r="AG457" t="s">
        <v>9270</v>
      </c>
      <c r="AI457">
        <v>49</v>
      </c>
      <c r="AJ457">
        <v>1</v>
      </c>
      <c r="AK457">
        <v>0</v>
      </c>
      <c r="AL457">
        <v>82.73</v>
      </c>
      <c r="AO457" t="s">
        <v>9298</v>
      </c>
      <c r="AP457">
        <v>10044</v>
      </c>
      <c r="AV457">
        <v>0.2</v>
      </c>
      <c r="AW457" t="s">
        <v>54</v>
      </c>
    </row>
    <row r="458" spans="1:49">
      <c r="A458" s="1">
        <f>HYPERLINK("https://cms.ls-nyc.org/matter/dynamic-profile/view/1877784","18-1877784")</f>
        <v>0</v>
      </c>
      <c r="B458" t="s">
        <v>60</v>
      </c>
      <c r="C458" t="s">
        <v>82</v>
      </c>
      <c r="D458" t="s">
        <v>228</v>
      </c>
      <c r="E458" t="s">
        <v>218</v>
      </c>
      <c r="F458" t="s">
        <v>543</v>
      </c>
      <c r="G458" t="s">
        <v>1767</v>
      </c>
      <c r="H458" t="s">
        <v>2921</v>
      </c>
      <c r="I458" t="s">
        <v>3884</v>
      </c>
      <c r="J458" t="s">
        <v>4222</v>
      </c>
      <c r="K458">
        <v>11432</v>
      </c>
      <c r="L458" t="s">
        <v>4275</v>
      </c>
      <c r="M458" t="s">
        <v>4275</v>
      </c>
      <c r="O458" t="s">
        <v>4283</v>
      </c>
      <c r="P458" t="s">
        <v>4700</v>
      </c>
      <c r="Q458" t="s">
        <v>5738</v>
      </c>
      <c r="R458" t="s">
        <v>5756</v>
      </c>
      <c r="S458" t="s">
        <v>5763</v>
      </c>
      <c r="T458" t="s">
        <v>4275</v>
      </c>
      <c r="V458" t="s">
        <v>5767</v>
      </c>
      <c r="W458" t="s">
        <v>5772</v>
      </c>
      <c r="X458" t="s">
        <v>228</v>
      </c>
      <c r="Y458">
        <v>877.9299999999999</v>
      </c>
      <c r="Z458" t="s">
        <v>5803</v>
      </c>
      <c r="AA458" t="s">
        <v>5807</v>
      </c>
      <c r="AB458" t="s">
        <v>5826</v>
      </c>
      <c r="AC458" t="s">
        <v>6268</v>
      </c>
      <c r="AE458" t="s">
        <v>8271</v>
      </c>
      <c r="AF458">
        <v>60</v>
      </c>
      <c r="AG458" t="s">
        <v>9272</v>
      </c>
      <c r="AH458" t="s">
        <v>4280</v>
      </c>
      <c r="AI458">
        <v>38</v>
      </c>
      <c r="AJ458">
        <v>4</v>
      </c>
      <c r="AK458">
        <v>0</v>
      </c>
      <c r="AL458">
        <v>83.43000000000001</v>
      </c>
      <c r="AO458" t="s">
        <v>9298</v>
      </c>
      <c r="AP458">
        <v>20940</v>
      </c>
      <c r="AT458" t="s">
        <v>9370</v>
      </c>
      <c r="AU458" t="s">
        <v>9404</v>
      </c>
      <c r="AV458">
        <v>0.4</v>
      </c>
      <c r="AW458" t="s">
        <v>54</v>
      </c>
    </row>
    <row r="459" spans="1:49">
      <c r="A459" s="1">
        <f>HYPERLINK("https://cms.ls-nyc.org/matter/dynamic-profile/view/1879397","18-1879397")</f>
        <v>0</v>
      </c>
      <c r="B459" t="s">
        <v>60</v>
      </c>
      <c r="C459" t="s">
        <v>82</v>
      </c>
      <c r="D459" t="s">
        <v>220</v>
      </c>
      <c r="E459" t="s">
        <v>189</v>
      </c>
      <c r="F459" t="s">
        <v>364</v>
      </c>
      <c r="G459" t="s">
        <v>1768</v>
      </c>
      <c r="H459" t="s">
        <v>2922</v>
      </c>
      <c r="I459" t="s">
        <v>4008</v>
      </c>
      <c r="J459" t="s">
        <v>4243</v>
      </c>
      <c r="K459">
        <v>11691</v>
      </c>
      <c r="L459" t="s">
        <v>4275</v>
      </c>
      <c r="M459" t="s">
        <v>4275</v>
      </c>
      <c r="O459" t="s">
        <v>4282</v>
      </c>
      <c r="P459" t="s">
        <v>4728</v>
      </c>
      <c r="Q459" t="s">
        <v>5731</v>
      </c>
      <c r="R459" t="s">
        <v>5753</v>
      </c>
      <c r="S459" t="s">
        <v>5759</v>
      </c>
      <c r="T459" t="s">
        <v>4276</v>
      </c>
      <c r="V459" t="s">
        <v>5768</v>
      </c>
      <c r="W459" t="s">
        <v>5772</v>
      </c>
      <c r="X459" t="s">
        <v>220</v>
      </c>
      <c r="Y459">
        <v>602</v>
      </c>
      <c r="Z459" t="s">
        <v>5803</v>
      </c>
      <c r="AA459" t="s">
        <v>5804</v>
      </c>
      <c r="AB459" t="s">
        <v>5821</v>
      </c>
      <c r="AC459" t="s">
        <v>6269</v>
      </c>
      <c r="AD459" t="s">
        <v>7478</v>
      </c>
      <c r="AE459" t="s">
        <v>8272</v>
      </c>
      <c r="AF459">
        <v>0</v>
      </c>
      <c r="AG459" t="s">
        <v>9271</v>
      </c>
      <c r="AH459" t="s">
        <v>4280</v>
      </c>
      <c r="AI459">
        <v>4</v>
      </c>
      <c r="AJ459">
        <v>1</v>
      </c>
      <c r="AK459">
        <v>4</v>
      </c>
      <c r="AL459">
        <v>84.43000000000001</v>
      </c>
      <c r="AP459">
        <v>24840</v>
      </c>
      <c r="AV459">
        <v>0.2</v>
      </c>
      <c r="AW459" t="s">
        <v>74</v>
      </c>
    </row>
    <row r="460" spans="1:49">
      <c r="A460" s="1">
        <f>HYPERLINK("https://cms.ls-nyc.org/matter/dynamic-profile/view/1881875","18-1881875")</f>
        <v>0</v>
      </c>
      <c r="B460" t="s">
        <v>60</v>
      </c>
      <c r="C460" t="s">
        <v>82</v>
      </c>
      <c r="D460" t="s">
        <v>170</v>
      </c>
      <c r="E460" t="s">
        <v>189</v>
      </c>
      <c r="F460" t="s">
        <v>694</v>
      </c>
      <c r="G460" t="s">
        <v>1769</v>
      </c>
      <c r="H460" t="s">
        <v>2923</v>
      </c>
      <c r="J460" t="s">
        <v>4239</v>
      </c>
      <c r="K460">
        <v>11420</v>
      </c>
      <c r="L460" t="s">
        <v>4275</v>
      </c>
      <c r="M460" t="s">
        <v>4275</v>
      </c>
      <c r="O460" t="s">
        <v>4282</v>
      </c>
      <c r="P460" t="s">
        <v>4729</v>
      </c>
      <c r="Q460" t="s">
        <v>5732</v>
      </c>
      <c r="R460" t="s">
        <v>5753</v>
      </c>
      <c r="S460" t="s">
        <v>5759</v>
      </c>
      <c r="T460" t="s">
        <v>4276</v>
      </c>
      <c r="V460" t="s">
        <v>5767</v>
      </c>
      <c r="X460" t="s">
        <v>154</v>
      </c>
      <c r="Y460">
        <v>400</v>
      </c>
      <c r="Z460" t="s">
        <v>5803</v>
      </c>
      <c r="AA460" t="s">
        <v>5804</v>
      </c>
      <c r="AB460" t="s">
        <v>5821</v>
      </c>
      <c r="AC460" t="s">
        <v>6270</v>
      </c>
      <c r="AE460" t="s">
        <v>8273</v>
      </c>
      <c r="AF460">
        <v>2</v>
      </c>
      <c r="AG460" t="s">
        <v>9270</v>
      </c>
      <c r="AH460" t="s">
        <v>4280</v>
      </c>
      <c r="AI460">
        <v>1</v>
      </c>
      <c r="AJ460">
        <v>1</v>
      </c>
      <c r="AK460">
        <v>0</v>
      </c>
      <c r="AL460">
        <v>85.67</v>
      </c>
      <c r="AO460" t="s">
        <v>1425</v>
      </c>
      <c r="AP460">
        <v>10400</v>
      </c>
      <c r="AV460">
        <v>0.1</v>
      </c>
      <c r="AW460" t="s">
        <v>54</v>
      </c>
    </row>
    <row r="461" spans="1:49">
      <c r="A461" s="1">
        <f>HYPERLINK("https://cms.ls-nyc.org/matter/dynamic-profile/view/1873301","18-1873301")</f>
        <v>0</v>
      </c>
      <c r="B461" t="s">
        <v>60</v>
      </c>
      <c r="C461" t="s">
        <v>82</v>
      </c>
      <c r="D461" t="s">
        <v>153</v>
      </c>
      <c r="E461" t="s">
        <v>235</v>
      </c>
      <c r="F461" t="s">
        <v>695</v>
      </c>
      <c r="G461" t="s">
        <v>1770</v>
      </c>
      <c r="H461" t="s">
        <v>2924</v>
      </c>
      <c r="I461" t="s">
        <v>3921</v>
      </c>
      <c r="J461" t="s">
        <v>4241</v>
      </c>
      <c r="K461">
        <v>11368</v>
      </c>
      <c r="L461" t="s">
        <v>4275</v>
      </c>
      <c r="M461" t="s">
        <v>4275</v>
      </c>
      <c r="O461" t="s">
        <v>4282</v>
      </c>
      <c r="P461" t="s">
        <v>4730</v>
      </c>
      <c r="Q461" t="s">
        <v>5732</v>
      </c>
      <c r="R461" t="s">
        <v>5753</v>
      </c>
      <c r="S461" t="s">
        <v>5759</v>
      </c>
      <c r="T461" t="s">
        <v>4276</v>
      </c>
      <c r="V461" t="s">
        <v>5767</v>
      </c>
      <c r="W461" t="s">
        <v>5772</v>
      </c>
      <c r="X461" t="s">
        <v>153</v>
      </c>
      <c r="Y461">
        <v>2500</v>
      </c>
      <c r="Z461" t="s">
        <v>5803</v>
      </c>
      <c r="AA461" t="s">
        <v>5804</v>
      </c>
      <c r="AB461" t="s">
        <v>5821</v>
      </c>
      <c r="AC461" t="s">
        <v>6271</v>
      </c>
      <c r="AE461" t="s">
        <v>8274</v>
      </c>
      <c r="AF461">
        <v>2</v>
      </c>
      <c r="AG461" t="s">
        <v>9269</v>
      </c>
      <c r="AH461" t="s">
        <v>4280</v>
      </c>
      <c r="AI461">
        <v>7</v>
      </c>
      <c r="AJ461">
        <v>4</v>
      </c>
      <c r="AK461">
        <v>4</v>
      </c>
      <c r="AL461">
        <v>92.02</v>
      </c>
      <c r="AN461" t="s">
        <v>9294</v>
      </c>
      <c r="AO461" t="s">
        <v>9298</v>
      </c>
      <c r="AP461">
        <v>39000</v>
      </c>
      <c r="AV461">
        <v>0.3</v>
      </c>
      <c r="AW461" t="s">
        <v>54</v>
      </c>
    </row>
    <row r="462" spans="1:49">
      <c r="A462" s="1">
        <f>HYPERLINK("https://cms.ls-nyc.org/matter/dynamic-profile/view/1873911","18-1873911")</f>
        <v>0</v>
      </c>
      <c r="B462" t="s">
        <v>60</v>
      </c>
      <c r="C462" t="s">
        <v>82</v>
      </c>
      <c r="D462" t="s">
        <v>131</v>
      </c>
      <c r="E462" t="s">
        <v>235</v>
      </c>
      <c r="F462" t="s">
        <v>696</v>
      </c>
      <c r="G462" t="s">
        <v>1771</v>
      </c>
      <c r="H462" t="s">
        <v>2925</v>
      </c>
      <c r="I462" t="s">
        <v>4009</v>
      </c>
      <c r="J462" t="s">
        <v>4234</v>
      </c>
      <c r="K462">
        <v>11103</v>
      </c>
      <c r="L462" t="s">
        <v>4275</v>
      </c>
      <c r="M462" t="s">
        <v>4275</v>
      </c>
      <c r="O462" t="s">
        <v>4282</v>
      </c>
      <c r="P462" t="s">
        <v>4731</v>
      </c>
      <c r="Q462" t="s">
        <v>5731</v>
      </c>
      <c r="R462" t="s">
        <v>5753</v>
      </c>
      <c r="S462" t="s">
        <v>5759</v>
      </c>
      <c r="T462" t="s">
        <v>4275</v>
      </c>
      <c r="V462" t="s">
        <v>5767</v>
      </c>
      <c r="W462" t="s">
        <v>5773</v>
      </c>
      <c r="X462" t="s">
        <v>131</v>
      </c>
      <c r="Y462">
        <v>806</v>
      </c>
      <c r="Z462" t="s">
        <v>5803</v>
      </c>
      <c r="AA462" t="s">
        <v>5804</v>
      </c>
      <c r="AB462" t="s">
        <v>5821</v>
      </c>
      <c r="AC462" t="s">
        <v>6272</v>
      </c>
      <c r="AE462" t="s">
        <v>8275</v>
      </c>
      <c r="AF462">
        <v>6</v>
      </c>
      <c r="AG462" t="s">
        <v>9272</v>
      </c>
      <c r="AH462" t="s">
        <v>4280</v>
      </c>
      <c r="AI462">
        <v>11</v>
      </c>
      <c r="AJ462">
        <v>1</v>
      </c>
      <c r="AK462">
        <v>0</v>
      </c>
      <c r="AL462">
        <v>97.17</v>
      </c>
      <c r="AP462">
        <v>11796</v>
      </c>
      <c r="AV462">
        <v>0.3</v>
      </c>
      <c r="AW462" t="s">
        <v>74</v>
      </c>
    </row>
    <row r="463" spans="1:49">
      <c r="A463" s="1">
        <f>HYPERLINK("https://cms.ls-nyc.org/matter/dynamic-profile/view/1890876","19-1890876")</f>
        <v>0</v>
      </c>
      <c r="B463" t="s">
        <v>60</v>
      </c>
      <c r="C463" t="s">
        <v>83</v>
      </c>
      <c r="D463" t="s">
        <v>98</v>
      </c>
      <c r="F463" t="s">
        <v>697</v>
      </c>
      <c r="G463" t="s">
        <v>1772</v>
      </c>
      <c r="H463" t="s">
        <v>2926</v>
      </c>
      <c r="I463" t="s">
        <v>3878</v>
      </c>
      <c r="J463" t="s">
        <v>4245</v>
      </c>
      <c r="K463">
        <v>11418</v>
      </c>
      <c r="L463" t="s">
        <v>4275</v>
      </c>
      <c r="M463" t="s">
        <v>4275</v>
      </c>
      <c r="O463" t="s">
        <v>4282</v>
      </c>
      <c r="P463" t="s">
        <v>4732</v>
      </c>
      <c r="Q463" t="s">
        <v>5732</v>
      </c>
      <c r="R463" t="s">
        <v>5753</v>
      </c>
      <c r="V463" t="s">
        <v>5767</v>
      </c>
      <c r="W463" t="s">
        <v>5772</v>
      </c>
      <c r="X463" t="s">
        <v>98</v>
      </c>
      <c r="Y463">
        <v>800</v>
      </c>
      <c r="Z463" t="s">
        <v>5803</v>
      </c>
      <c r="AA463" t="s">
        <v>5804</v>
      </c>
      <c r="AC463" t="s">
        <v>6273</v>
      </c>
      <c r="AD463" t="s">
        <v>7479</v>
      </c>
      <c r="AE463" t="s">
        <v>8276</v>
      </c>
      <c r="AF463">
        <v>2</v>
      </c>
      <c r="AG463" t="s">
        <v>9269</v>
      </c>
      <c r="AH463" t="s">
        <v>4280</v>
      </c>
      <c r="AI463">
        <v>8</v>
      </c>
      <c r="AJ463">
        <v>2</v>
      </c>
      <c r="AK463">
        <v>0</v>
      </c>
      <c r="AL463">
        <v>106.45</v>
      </c>
      <c r="AO463" t="s">
        <v>1425</v>
      </c>
      <c r="AP463">
        <v>18000</v>
      </c>
      <c r="AV463">
        <v>0.2</v>
      </c>
      <c r="AW463" t="s">
        <v>73</v>
      </c>
    </row>
    <row r="464" spans="1:49">
      <c r="A464" s="1">
        <f>HYPERLINK("https://cms.ls-nyc.org/matter/dynamic-profile/view/1879783","18-1879783")</f>
        <v>0</v>
      </c>
      <c r="B464" t="s">
        <v>60</v>
      </c>
      <c r="C464" t="s">
        <v>83</v>
      </c>
      <c r="D464" t="s">
        <v>229</v>
      </c>
      <c r="F464" t="s">
        <v>698</v>
      </c>
      <c r="G464" t="s">
        <v>1773</v>
      </c>
      <c r="H464" t="s">
        <v>2927</v>
      </c>
      <c r="I464">
        <v>510</v>
      </c>
      <c r="J464" t="s">
        <v>4229</v>
      </c>
      <c r="K464">
        <v>11355</v>
      </c>
      <c r="L464" t="s">
        <v>4276</v>
      </c>
      <c r="M464" t="s">
        <v>4276</v>
      </c>
      <c r="O464" t="s">
        <v>4283</v>
      </c>
      <c r="P464" t="s">
        <v>4700</v>
      </c>
      <c r="Q464" t="s">
        <v>4698</v>
      </c>
      <c r="R464" t="s">
        <v>5756</v>
      </c>
      <c r="T464" t="s">
        <v>4276</v>
      </c>
      <c r="V464" t="s">
        <v>5767</v>
      </c>
      <c r="W464" t="s">
        <v>5772</v>
      </c>
      <c r="Y464">
        <v>1213</v>
      </c>
      <c r="Z464" t="s">
        <v>5803</v>
      </c>
      <c r="AA464" t="s">
        <v>5811</v>
      </c>
      <c r="AC464" t="s">
        <v>6274</v>
      </c>
      <c r="AE464" t="s">
        <v>8277</v>
      </c>
      <c r="AF464">
        <v>158</v>
      </c>
      <c r="AG464" t="s">
        <v>9272</v>
      </c>
      <c r="AH464" t="s">
        <v>9288</v>
      </c>
      <c r="AI464">
        <v>5</v>
      </c>
      <c r="AJ464">
        <v>1</v>
      </c>
      <c r="AK464">
        <v>0</v>
      </c>
      <c r="AL464">
        <v>118.81</v>
      </c>
      <c r="AO464" t="s">
        <v>1425</v>
      </c>
      <c r="AP464">
        <v>14424</v>
      </c>
      <c r="AV464">
        <v>1.55</v>
      </c>
      <c r="AW464" t="s">
        <v>72</v>
      </c>
    </row>
    <row r="465" spans="1:49">
      <c r="A465" s="1">
        <f>HYPERLINK("https://cms.ls-nyc.org/matter/dynamic-profile/view/1873917","18-1873917")</f>
        <v>0</v>
      </c>
      <c r="B465" t="s">
        <v>60</v>
      </c>
      <c r="C465" t="s">
        <v>82</v>
      </c>
      <c r="D465" t="s">
        <v>131</v>
      </c>
      <c r="E465" t="s">
        <v>196</v>
      </c>
      <c r="F465" t="s">
        <v>699</v>
      </c>
      <c r="G465" t="s">
        <v>1774</v>
      </c>
      <c r="H465" t="s">
        <v>2928</v>
      </c>
      <c r="I465" t="s">
        <v>4010</v>
      </c>
      <c r="J465" t="s">
        <v>4253</v>
      </c>
      <c r="K465">
        <v>11422</v>
      </c>
      <c r="L465" t="s">
        <v>4275</v>
      </c>
      <c r="M465" t="s">
        <v>4275</v>
      </c>
      <c r="O465" t="s">
        <v>4282</v>
      </c>
      <c r="P465" t="s">
        <v>4733</v>
      </c>
      <c r="Q465" t="s">
        <v>5732</v>
      </c>
      <c r="R465" t="s">
        <v>5753</v>
      </c>
      <c r="S465" t="s">
        <v>5759</v>
      </c>
      <c r="T465" t="s">
        <v>4276</v>
      </c>
      <c r="U465" t="s">
        <v>4282</v>
      </c>
      <c r="V465" t="s">
        <v>5767</v>
      </c>
      <c r="W465" t="s">
        <v>5772</v>
      </c>
      <c r="X465" t="s">
        <v>131</v>
      </c>
      <c r="Y465">
        <v>670</v>
      </c>
      <c r="Z465" t="s">
        <v>5803</v>
      </c>
      <c r="AA465" t="s">
        <v>5804</v>
      </c>
      <c r="AB465" t="s">
        <v>5821</v>
      </c>
      <c r="AC465" t="s">
        <v>6275</v>
      </c>
      <c r="AE465" t="s">
        <v>8278</v>
      </c>
      <c r="AF465">
        <v>1</v>
      </c>
      <c r="AG465" t="s">
        <v>9269</v>
      </c>
      <c r="AH465" t="s">
        <v>4280</v>
      </c>
      <c r="AI465">
        <v>13</v>
      </c>
      <c r="AJ465">
        <v>1</v>
      </c>
      <c r="AK465">
        <v>0</v>
      </c>
      <c r="AL465">
        <v>121.09</v>
      </c>
      <c r="AO465" t="s">
        <v>1425</v>
      </c>
      <c r="AP465">
        <v>14700</v>
      </c>
      <c r="AV465">
        <v>0.8</v>
      </c>
      <c r="AW465" t="s">
        <v>74</v>
      </c>
    </row>
    <row r="466" spans="1:49">
      <c r="A466" s="1">
        <f>HYPERLINK("https://cms.ls-nyc.org/matter/dynamic-profile/view/1877985","18-1877985")</f>
        <v>0</v>
      </c>
      <c r="B466" t="s">
        <v>60</v>
      </c>
      <c r="C466" t="s">
        <v>82</v>
      </c>
      <c r="D466" t="s">
        <v>126</v>
      </c>
      <c r="E466" t="s">
        <v>189</v>
      </c>
      <c r="F466" t="s">
        <v>700</v>
      </c>
      <c r="G466" t="s">
        <v>1775</v>
      </c>
      <c r="H466" t="s">
        <v>2929</v>
      </c>
      <c r="I466" t="s">
        <v>3856</v>
      </c>
      <c r="J466" t="s">
        <v>4266</v>
      </c>
      <c r="K466">
        <v>11429</v>
      </c>
      <c r="L466" t="s">
        <v>4275</v>
      </c>
      <c r="M466" t="s">
        <v>4275</v>
      </c>
      <c r="O466" t="s">
        <v>4282</v>
      </c>
      <c r="P466" t="s">
        <v>4734</v>
      </c>
      <c r="Q466" t="s">
        <v>5732</v>
      </c>
      <c r="R466" t="s">
        <v>5753</v>
      </c>
      <c r="S466" t="s">
        <v>5759</v>
      </c>
      <c r="T466" t="s">
        <v>4276</v>
      </c>
      <c r="V466" t="s">
        <v>5767</v>
      </c>
      <c r="W466" t="s">
        <v>5772</v>
      </c>
      <c r="X466" t="s">
        <v>126</v>
      </c>
      <c r="Y466">
        <v>1050</v>
      </c>
      <c r="Z466" t="s">
        <v>5803</v>
      </c>
      <c r="AA466" t="s">
        <v>5804</v>
      </c>
      <c r="AB466" t="s">
        <v>5821</v>
      </c>
      <c r="AC466" t="s">
        <v>6276</v>
      </c>
      <c r="AD466" t="s">
        <v>7480</v>
      </c>
      <c r="AE466" t="s">
        <v>8279</v>
      </c>
      <c r="AF466">
        <v>4</v>
      </c>
      <c r="AG466" t="s">
        <v>9269</v>
      </c>
      <c r="AH466" t="s">
        <v>4280</v>
      </c>
      <c r="AI466">
        <v>5</v>
      </c>
      <c r="AJ466">
        <v>1</v>
      </c>
      <c r="AK466">
        <v>0</v>
      </c>
      <c r="AL466">
        <v>123.26</v>
      </c>
      <c r="AO466" t="s">
        <v>1425</v>
      </c>
      <c r="AP466">
        <v>14964</v>
      </c>
      <c r="AV466">
        <v>0.45</v>
      </c>
      <c r="AW466" t="s">
        <v>73</v>
      </c>
    </row>
    <row r="467" spans="1:49">
      <c r="A467" s="1">
        <f>HYPERLINK("https://cms.ls-nyc.org/matter/dynamic-profile/view/1873346","18-1873346")</f>
        <v>0</v>
      </c>
      <c r="B467" t="s">
        <v>60</v>
      </c>
      <c r="C467" t="s">
        <v>82</v>
      </c>
      <c r="D467" t="s">
        <v>153</v>
      </c>
      <c r="E467" t="s">
        <v>235</v>
      </c>
      <c r="F467" t="s">
        <v>333</v>
      </c>
      <c r="G467" t="s">
        <v>1641</v>
      </c>
      <c r="H467" t="s">
        <v>2930</v>
      </c>
      <c r="I467" t="s">
        <v>3856</v>
      </c>
      <c r="J467" t="s">
        <v>4241</v>
      </c>
      <c r="K467">
        <v>11368</v>
      </c>
      <c r="L467" t="s">
        <v>4275</v>
      </c>
      <c r="M467" t="s">
        <v>4275</v>
      </c>
      <c r="O467" t="s">
        <v>4282</v>
      </c>
      <c r="P467" t="s">
        <v>4735</v>
      </c>
      <c r="Q467" t="s">
        <v>5732</v>
      </c>
      <c r="R467" t="s">
        <v>5753</v>
      </c>
      <c r="S467" t="s">
        <v>5759</v>
      </c>
      <c r="T467" t="s">
        <v>4276</v>
      </c>
      <c r="V467" t="s">
        <v>5767</v>
      </c>
      <c r="W467" t="s">
        <v>5772</v>
      </c>
      <c r="X467" t="s">
        <v>153</v>
      </c>
      <c r="Y467">
        <v>1520</v>
      </c>
      <c r="Z467" t="s">
        <v>5803</v>
      </c>
      <c r="AA467" t="s">
        <v>5804</v>
      </c>
      <c r="AB467" t="s">
        <v>5821</v>
      </c>
      <c r="AC467" t="s">
        <v>6277</v>
      </c>
      <c r="AD467" t="s">
        <v>4280</v>
      </c>
      <c r="AE467" t="s">
        <v>7289</v>
      </c>
      <c r="AF467">
        <v>4</v>
      </c>
      <c r="AG467" t="s">
        <v>9272</v>
      </c>
      <c r="AH467" t="s">
        <v>4280</v>
      </c>
      <c r="AI467">
        <v>22</v>
      </c>
      <c r="AJ467">
        <v>3</v>
      </c>
      <c r="AK467">
        <v>0</v>
      </c>
      <c r="AL467">
        <v>124.16</v>
      </c>
      <c r="AN467" t="s">
        <v>9294</v>
      </c>
      <c r="AO467" t="s">
        <v>9298</v>
      </c>
      <c r="AP467">
        <v>25800</v>
      </c>
      <c r="AV467">
        <v>0.1</v>
      </c>
      <c r="AW467" t="s">
        <v>54</v>
      </c>
    </row>
    <row r="468" spans="1:49">
      <c r="A468" s="1">
        <f>HYPERLINK("https://cms.ls-nyc.org/matter/dynamic-profile/view/1894202","19-1894202")</f>
        <v>0</v>
      </c>
      <c r="B468" t="s">
        <v>60</v>
      </c>
      <c r="C468" t="s">
        <v>83</v>
      </c>
      <c r="D468" t="s">
        <v>211</v>
      </c>
      <c r="F468" t="s">
        <v>701</v>
      </c>
      <c r="G468" t="s">
        <v>1681</v>
      </c>
      <c r="H468" t="s">
        <v>2931</v>
      </c>
      <c r="I468">
        <v>2</v>
      </c>
      <c r="J468" t="s">
        <v>4239</v>
      </c>
      <c r="K468">
        <v>11420</v>
      </c>
      <c r="L468" t="s">
        <v>4275</v>
      </c>
      <c r="M468" t="s">
        <v>4275</v>
      </c>
      <c r="O468" t="s">
        <v>4282</v>
      </c>
      <c r="P468" t="s">
        <v>4736</v>
      </c>
      <c r="Q468" t="s">
        <v>5732</v>
      </c>
      <c r="R468" t="s">
        <v>5753</v>
      </c>
      <c r="T468" t="s">
        <v>4276</v>
      </c>
      <c r="V468" t="s">
        <v>5767</v>
      </c>
      <c r="X468" t="s">
        <v>211</v>
      </c>
      <c r="Y468">
        <v>1950</v>
      </c>
      <c r="Z468" t="s">
        <v>5803</v>
      </c>
      <c r="AA468" t="s">
        <v>5804</v>
      </c>
      <c r="AC468" t="s">
        <v>6278</v>
      </c>
      <c r="AE468" t="s">
        <v>8280</v>
      </c>
      <c r="AF468">
        <v>0</v>
      </c>
      <c r="AG468" t="s">
        <v>9270</v>
      </c>
      <c r="AH468" t="s">
        <v>9282</v>
      </c>
      <c r="AI468">
        <v>10</v>
      </c>
      <c r="AJ468">
        <v>1</v>
      </c>
      <c r="AK468">
        <v>0</v>
      </c>
      <c r="AL468">
        <v>128.1</v>
      </c>
      <c r="AO468" t="s">
        <v>1425</v>
      </c>
      <c r="AP468">
        <v>16000</v>
      </c>
      <c r="AV468">
        <v>0.65</v>
      </c>
      <c r="AW468" t="s">
        <v>54</v>
      </c>
    </row>
    <row r="469" spans="1:49">
      <c r="A469" s="1">
        <f>HYPERLINK("https://cms.ls-nyc.org/matter/dynamic-profile/view/1880800","18-1880800")</f>
        <v>0</v>
      </c>
      <c r="B469" t="s">
        <v>60</v>
      </c>
      <c r="C469" t="s">
        <v>82</v>
      </c>
      <c r="D469" t="s">
        <v>84</v>
      </c>
      <c r="E469" t="s">
        <v>189</v>
      </c>
      <c r="F469" t="s">
        <v>702</v>
      </c>
      <c r="G469" t="s">
        <v>1776</v>
      </c>
      <c r="H469" t="s">
        <v>2932</v>
      </c>
      <c r="I469" t="s">
        <v>3946</v>
      </c>
      <c r="J469" t="s">
        <v>4235</v>
      </c>
      <c r="K469">
        <v>11421</v>
      </c>
      <c r="L469" t="s">
        <v>4275</v>
      </c>
      <c r="M469" t="s">
        <v>4275</v>
      </c>
      <c r="O469" t="s">
        <v>4282</v>
      </c>
      <c r="P469" t="s">
        <v>4737</v>
      </c>
      <c r="Q469" t="s">
        <v>5731</v>
      </c>
      <c r="R469" t="s">
        <v>5753</v>
      </c>
      <c r="S469" t="s">
        <v>5759</v>
      </c>
      <c r="T469" t="s">
        <v>4276</v>
      </c>
      <c r="V469" t="s">
        <v>5767</v>
      </c>
      <c r="W469" t="s">
        <v>5772</v>
      </c>
      <c r="X469" t="s">
        <v>84</v>
      </c>
      <c r="Y469">
        <v>1459.72</v>
      </c>
      <c r="Z469" t="s">
        <v>5803</v>
      </c>
      <c r="AA469" t="s">
        <v>5804</v>
      </c>
      <c r="AB469" t="s">
        <v>5821</v>
      </c>
      <c r="AC469" t="s">
        <v>6013</v>
      </c>
      <c r="AD469" t="s">
        <v>7481</v>
      </c>
      <c r="AE469" t="s">
        <v>8281</v>
      </c>
      <c r="AF469">
        <v>48</v>
      </c>
      <c r="AG469" t="s">
        <v>9272</v>
      </c>
      <c r="AH469" t="s">
        <v>9287</v>
      </c>
      <c r="AI469">
        <v>4</v>
      </c>
      <c r="AJ469">
        <v>1</v>
      </c>
      <c r="AK469">
        <v>0</v>
      </c>
      <c r="AL469">
        <v>133.44</v>
      </c>
      <c r="AO469" t="s">
        <v>1425</v>
      </c>
      <c r="AP469">
        <v>16200</v>
      </c>
      <c r="AV469">
        <v>0.95</v>
      </c>
      <c r="AW469" t="s">
        <v>73</v>
      </c>
    </row>
    <row r="470" spans="1:49">
      <c r="A470" s="1">
        <f>HYPERLINK("https://cms.ls-nyc.org/matter/dynamic-profile/view/1899757","19-1899757")</f>
        <v>0</v>
      </c>
      <c r="B470" t="s">
        <v>60</v>
      </c>
      <c r="C470" t="s">
        <v>83</v>
      </c>
      <c r="D470" t="s">
        <v>230</v>
      </c>
      <c r="F470" t="s">
        <v>703</v>
      </c>
      <c r="G470" t="s">
        <v>1777</v>
      </c>
      <c r="H470" t="s">
        <v>2933</v>
      </c>
      <c r="I470" t="s">
        <v>3870</v>
      </c>
      <c r="J470" t="s">
        <v>4252</v>
      </c>
      <c r="K470">
        <v>11374</v>
      </c>
      <c r="L470" t="s">
        <v>4277</v>
      </c>
      <c r="M470" t="s">
        <v>4277</v>
      </c>
      <c r="O470" t="s">
        <v>4282</v>
      </c>
      <c r="Q470" t="s">
        <v>5731</v>
      </c>
      <c r="V470" t="s">
        <v>5767</v>
      </c>
      <c r="Y470">
        <v>1313.8</v>
      </c>
      <c r="Z470" t="s">
        <v>5803</v>
      </c>
      <c r="AC470" t="s">
        <v>6279</v>
      </c>
      <c r="AE470" t="s">
        <v>8282</v>
      </c>
      <c r="AF470">
        <v>0</v>
      </c>
      <c r="AH470" t="s">
        <v>9287</v>
      </c>
      <c r="AI470">
        <v>0</v>
      </c>
      <c r="AJ470">
        <v>2</v>
      </c>
      <c r="AK470">
        <v>0</v>
      </c>
      <c r="AL470">
        <v>140.08</v>
      </c>
      <c r="AO470" t="s">
        <v>9298</v>
      </c>
      <c r="AP470">
        <v>23688</v>
      </c>
      <c r="AV470">
        <v>2.9</v>
      </c>
      <c r="AW470" t="s">
        <v>9549</v>
      </c>
    </row>
    <row r="471" spans="1:49">
      <c r="A471" s="1">
        <f>HYPERLINK("https://cms.ls-nyc.org/matter/dynamic-profile/view/1890863","19-1890863")</f>
        <v>0</v>
      </c>
      <c r="B471" t="s">
        <v>60</v>
      </c>
      <c r="C471" t="s">
        <v>83</v>
      </c>
      <c r="D471" t="s">
        <v>98</v>
      </c>
      <c r="F471" t="s">
        <v>704</v>
      </c>
      <c r="G471" t="s">
        <v>1778</v>
      </c>
      <c r="H471" t="s">
        <v>2934</v>
      </c>
      <c r="I471" t="s">
        <v>3909</v>
      </c>
      <c r="J471" t="s">
        <v>4236</v>
      </c>
      <c r="K471">
        <v>11416</v>
      </c>
      <c r="L471" t="s">
        <v>4275</v>
      </c>
      <c r="M471" t="s">
        <v>4275</v>
      </c>
      <c r="O471" t="s">
        <v>4282</v>
      </c>
      <c r="P471" t="s">
        <v>4738</v>
      </c>
      <c r="Q471" t="s">
        <v>5734</v>
      </c>
      <c r="R471" t="s">
        <v>5753</v>
      </c>
      <c r="T471" t="s">
        <v>4276</v>
      </c>
      <c r="V471" t="s">
        <v>5767</v>
      </c>
      <c r="W471" t="s">
        <v>5772</v>
      </c>
      <c r="X471" t="s">
        <v>158</v>
      </c>
      <c r="Y471">
        <v>1800</v>
      </c>
      <c r="Z471" t="s">
        <v>5803</v>
      </c>
      <c r="AA471" t="s">
        <v>5804</v>
      </c>
      <c r="AC471" t="s">
        <v>6280</v>
      </c>
      <c r="AE471" t="s">
        <v>8283</v>
      </c>
      <c r="AF471">
        <v>2</v>
      </c>
      <c r="AG471" t="s">
        <v>9269</v>
      </c>
      <c r="AH471" t="s">
        <v>4280</v>
      </c>
      <c r="AI471">
        <v>-1</v>
      </c>
      <c r="AJ471">
        <v>1</v>
      </c>
      <c r="AK471">
        <v>0</v>
      </c>
      <c r="AL471">
        <v>168.13</v>
      </c>
      <c r="AO471" t="s">
        <v>1425</v>
      </c>
      <c r="AP471">
        <v>21000</v>
      </c>
      <c r="AV471">
        <v>1.1</v>
      </c>
      <c r="AW471" t="s">
        <v>73</v>
      </c>
    </row>
    <row r="472" spans="1:49">
      <c r="A472" s="1">
        <f>HYPERLINK("https://cms.ls-nyc.org/matter/dynamic-profile/view/1882975","18-1882975")</f>
        <v>0</v>
      </c>
      <c r="B472" t="s">
        <v>60</v>
      </c>
      <c r="C472" t="s">
        <v>82</v>
      </c>
      <c r="D472" t="s">
        <v>223</v>
      </c>
      <c r="E472" t="s">
        <v>282</v>
      </c>
      <c r="F472" t="s">
        <v>705</v>
      </c>
      <c r="G472" t="s">
        <v>1002</v>
      </c>
      <c r="H472" t="s">
        <v>2935</v>
      </c>
      <c r="J472" t="s">
        <v>4241</v>
      </c>
      <c r="K472">
        <v>11368</v>
      </c>
      <c r="L472" t="s">
        <v>4275</v>
      </c>
      <c r="M472" t="s">
        <v>4275</v>
      </c>
      <c r="O472" t="s">
        <v>4282</v>
      </c>
      <c r="P472" t="s">
        <v>4739</v>
      </c>
      <c r="Q472" t="s">
        <v>5732</v>
      </c>
      <c r="R472" t="s">
        <v>5753</v>
      </c>
      <c r="S472" t="s">
        <v>5759</v>
      </c>
      <c r="T472" t="s">
        <v>4276</v>
      </c>
      <c r="V472" t="s">
        <v>5767</v>
      </c>
      <c r="W472" t="s">
        <v>5772</v>
      </c>
      <c r="X472" t="s">
        <v>223</v>
      </c>
      <c r="Y472">
        <v>750</v>
      </c>
      <c r="Z472" t="s">
        <v>5803</v>
      </c>
      <c r="AA472" t="s">
        <v>5804</v>
      </c>
      <c r="AB472" t="s">
        <v>5821</v>
      </c>
      <c r="AC472" t="s">
        <v>6281</v>
      </c>
      <c r="AE472" t="s">
        <v>8284</v>
      </c>
      <c r="AF472">
        <v>0</v>
      </c>
      <c r="AG472" t="s">
        <v>9275</v>
      </c>
      <c r="AH472" t="s">
        <v>4280</v>
      </c>
      <c r="AI472">
        <v>1</v>
      </c>
      <c r="AJ472">
        <v>1</v>
      </c>
      <c r="AK472">
        <v>0</v>
      </c>
      <c r="AL472">
        <v>171.33</v>
      </c>
      <c r="AO472" t="s">
        <v>9302</v>
      </c>
      <c r="AP472">
        <v>20800</v>
      </c>
      <c r="AV472">
        <v>0.4</v>
      </c>
      <c r="AW472" t="s">
        <v>54</v>
      </c>
    </row>
    <row r="473" spans="1:49">
      <c r="A473" s="1">
        <f>HYPERLINK("https://cms.ls-nyc.org/matter/dynamic-profile/view/1878751","18-1878751")</f>
        <v>0</v>
      </c>
      <c r="B473" t="s">
        <v>60</v>
      </c>
      <c r="C473" t="s">
        <v>82</v>
      </c>
      <c r="D473" t="s">
        <v>215</v>
      </c>
      <c r="E473" t="s">
        <v>189</v>
      </c>
      <c r="F473" t="s">
        <v>706</v>
      </c>
      <c r="G473" t="s">
        <v>1104</v>
      </c>
      <c r="H473" t="s">
        <v>2936</v>
      </c>
      <c r="I473">
        <v>10</v>
      </c>
      <c r="J473" t="s">
        <v>4222</v>
      </c>
      <c r="K473">
        <v>11432</v>
      </c>
      <c r="L473" t="s">
        <v>4275</v>
      </c>
      <c r="M473" t="s">
        <v>4275</v>
      </c>
      <c r="O473" t="s">
        <v>4282</v>
      </c>
      <c r="P473" t="s">
        <v>4740</v>
      </c>
      <c r="Q473" t="s">
        <v>5732</v>
      </c>
      <c r="R473" t="s">
        <v>5753</v>
      </c>
      <c r="S473" t="s">
        <v>5759</v>
      </c>
      <c r="T473" t="s">
        <v>4276</v>
      </c>
      <c r="V473" t="s">
        <v>5767</v>
      </c>
      <c r="W473" t="s">
        <v>5772</v>
      </c>
      <c r="X473" t="s">
        <v>154</v>
      </c>
      <c r="Y473">
        <v>1500</v>
      </c>
      <c r="Z473" t="s">
        <v>5803</v>
      </c>
      <c r="AA473" t="s">
        <v>5804</v>
      </c>
      <c r="AB473" t="s">
        <v>5821</v>
      </c>
      <c r="AC473" t="s">
        <v>6282</v>
      </c>
      <c r="AE473" t="s">
        <v>8285</v>
      </c>
      <c r="AF473">
        <v>12</v>
      </c>
      <c r="AG473" t="s">
        <v>9272</v>
      </c>
      <c r="AH473" t="s">
        <v>4280</v>
      </c>
      <c r="AI473">
        <v>1</v>
      </c>
      <c r="AJ473">
        <v>3</v>
      </c>
      <c r="AK473">
        <v>1</v>
      </c>
      <c r="AL473">
        <v>173.31</v>
      </c>
      <c r="AO473" t="s">
        <v>1425</v>
      </c>
      <c r="AP473">
        <v>43500</v>
      </c>
      <c r="AV473">
        <v>0.7</v>
      </c>
      <c r="AW473" t="s">
        <v>54</v>
      </c>
    </row>
    <row r="474" spans="1:49">
      <c r="A474" s="1">
        <f>HYPERLINK("https://cms.ls-nyc.org/matter/dynamic-profile/view/1871698","18-1871698")</f>
        <v>0</v>
      </c>
      <c r="B474" t="s">
        <v>60</v>
      </c>
      <c r="C474" t="s">
        <v>83</v>
      </c>
      <c r="D474" t="s">
        <v>231</v>
      </c>
      <c r="F474" t="s">
        <v>707</v>
      </c>
      <c r="G474" t="s">
        <v>1779</v>
      </c>
      <c r="H474" t="s">
        <v>2937</v>
      </c>
      <c r="I474" t="s">
        <v>4004</v>
      </c>
      <c r="J474" t="s">
        <v>4229</v>
      </c>
      <c r="K474">
        <v>11354</v>
      </c>
      <c r="L474" t="s">
        <v>4275</v>
      </c>
      <c r="M474" t="s">
        <v>4275</v>
      </c>
      <c r="O474" t="s">
        <v>4283</v>
      </c>
      <c r="P474" t="s">
        <v>4700</v>
      </c>
      <c r="Q474" t="s">
        <v>5742</v>
      </c>
      <c r="R474" t="s">
        <v>5756</v>
      </c>
      <c r="T474" t="s">
        <v>4276</v>
      </c>
      <c r="V474" t="s">
        <v>5767</v>
      </c>
      <c r="W474" t="s">
        <v>5772</v>
      </c>
      <c r="X474" t="s">
        <v>231</v>
      </c>
      <c r="Y474">
        <v>1590.83</v>
      </c>
      <c r="Z474" t="s">
        <v>5803</v>
      </c>
      <c r="AA474" t="s">
        <v>5811</v>
      </c>
      <c r="AC474" t="s">
        <v>6283</v>
      </c>
      <c r="AD474" t="s">
        <v>4280</v>
      </c>
      <c r="AE474" t="s">
        <v>8286</v>
      </c>
      <c r="AF474">
        <v>90</v>
      </c>
      <c r="AG474" t="s">
        <v>9272</v>
      </c>
      <c r="AH474" t="s">
        <v>4280</v>
      </c>
      <c r="AI474">
        <v>8</v>
      </c>
      <c r="AJ474">
        <v>3</v>
      </c>
      <c r="AK474">
        <v>0</v>
      </c>
      <c r="AL474">
        <v>211.74</v>
      </c>
      <c r="AO474" t="s">
        <v>9305</v>
      </c>
      <c r="AP474">
        <v>44000</v>
      </c>
      <c r="AV474">
        <v>1.8</v>
      </c>
      <c r="AW474" t="s">
        <v>72</v>
      </c>
    </row>
    <row r="475" spans="1:49">
      <c r="A475" s="1">
        <f>HYPERLINK("https://cms.ls-nyc.org/matter/dynamic-profile/view/1878615","18-1878615")</f>
        <v>0</v>
      </c>
      <c r="B475" t="s">
        <v>60</v>
      </c>
      <c r="C475" t="s">
        <v>82</v>
      </c>
      <c r="D475" t="s">
        <v>147</v>
      </c>
      <c r="E475" t="s">
        <v>300</v>
      </c>
      <c r="F475" t="s">
        <v>402</v>
      </c>
      <c r="G475" t="s">
        <v>1644</v>
      </c>
      <c r="H475" t="s">
        <v>2786</v>
      </c>
      <c r="I475" t="s">
        <v>3968</v>
      </c>
      <c r="J475" t="s">
        <v>4222</v>
      </c>
      <c r="K475">
        <v>11434</v>
      </c>
      <c r="L475" t="s">
        <v>4275</v>
      </c>
      <c r="M475" t="s">
        <v>4275</v>
      </c>
      <c r="O475" t="s">
        <v>4281</v>
      </c>
      <c r="P475" t="s">
        <v>4741</v>
      </c>
      <c r="Q475" t="s">
        <v>5732</v>
      </c>
      <c r="R475" t="s">
        <v>5753</v>
      </c>
      <c r="S475" t="s">
        <v>5759</v>
      </c>
      <c r="T475" t="s">
        <v>4276</v>
      </c>
      <c r="V475" t="s">
        <v>5767</v>
      </c>
      <c r="W475" t="s">
        <v>5772</v>
      </c>
      <c r="X475" t="s">
        <v>147</v>
      </c>
      <c r="Y475">
        <v>957</v>
      </c>
      <c r="Z475" t="s">
        <v>5803</v>
      </c>
      <c r="AA475" t="s">
        <v>5804</v>
      </c>
      <c r="AB475" t="s">
        <v>5821</v>
      </c>
      <c r="AC475" t="s">
        <v>6129</v>
      </c>
      <c r="AE475" t="s">
        <v>8140</v>
      </c>
      <c r="AF475">
        <v>104</v>
      </c>
      <c r="AG475" t="s">
        <v>9270</v>
      </c>
      <c r="AH475" t="s">
        <v>4280</v>
      </c>
      <c r="AI475">
        <v>3</v>
      </c>
      <c r="AJ475">
        <v>2</v>
      </c>
      <c r="AK475">
        <v>1</v>
      </c>
      <c r="AL475">
        <v>212.7</v>
      </c>
      <c r="AO475" t="s">
        <v>1425</v>
      </c>
      <c r="AP475">
        <v>44200</v>
      </c>
      <c r="AV475">
        <v>0.75</v>
      </c>
      <c r="AW475" t="s">
        <v>54</v>
      </c>
    </row>
    <row r="476" spans="1:49">
      <c r="A476" s="1">
        <f>HYPERLINK("https://cms.ls-nyc.org/matter/dynamic-profile/view/1874537","18-1874537")</f>
        <v>0</v>
      </c>
      <c r="B476" t="s">
        <v>60</v>
      </c>
      <c r="C476" t="s">
        <v>83</v>
      </c>
      <c r="D476" t="s">
        <v>103</v>
      </c>
      <c r="F476" t="s">
        <v>708</v>
      </c>
      <c r="G476" t="s">
        <v>1780</v>
      </c>
      <c r="H476" t="s">
        <v>2938</v>
      </c>
      <c r="I476" t="s">
        <v>3906</v>
      </c>
      <c r="J476" t="s">
        <v>4222</v>
      </c>
      <c r="K476">
        <v>11434</v>
      </c>
      <c r="L476" t="s">
        <v>4277</v>
      </c>
      <c r="M476" t="s">
        <v>4277</v>
      </c>
      <c r="O476" t="s">
        <v>4282</v>
      </c>
      <c r="V476" t="s">
        <v>5767</v>
      </c>
      <c r="Y476">
        <v>0</v>
      </c>
      <c r="Z476" t="s">
        <v>5803</v>
      </c>
      <c r="AC476" t="s">
        <v>6284</v>
      </c>
      <c r="AE476" t="s">
        <v>8287</v>
      </c>
      <c r="AF476">
        <v>0</v>
      </c>
      <c r="AI476">
        <v>0</v>
      </c>
      <c r="AJ476">
        <v>3</v>
      </c>
      <c r="AK476">
        <v>0</v>
      </c>
      <c r="AL476">
        <v>451.4</v>
      </c>
      <c r="AO476" t="s">
        <v>1425</v>
      </c>
      <c r="AP476">
        <v>93800</v>
      </c>
      <c r="AV476">
        <v>0</v>
      </c>
      <c r="AW476" t="s">
        <v>60</v>
      </c>
    </row>
    <row r="477" spans="1:49">
      <c r="A477" s="1">
        <f>HYPERLINK("https://cms.ls-nyc.org/matter/dynamic-profile/view/1875141","18-1875141")</f>
        <v>0</v>
      </c>
      <c r="B477" t="s">
        <v>61</v>
      </c>
      <c r="C477" t="s">
        <v>82</v>
      </c>
      <c r="D477" t="s">
        <v>177</v>
      </c>
      <c r="E477" t="s">
        <v>272</v>
      </c>
      <c r="F477" t="s">
        <v>709</v>
      </c>
      <c r="G477" t="s">
        <v>1516</v>
      </c>
      <c r="H477" t="s">
        <v>2939</v>
      </c>
      <c r="I477" t="s">
        <v>3878</v>
      </c>
      <c r="J477" t="s">
        <v>4235</v>
      </c>
      <c r="K477">
        <v>11421</v>
      </c>
      <c r="L477" t="s">
        <v>4275</v>
      </c>
      <c r="M477" t="s">
        <v>4275</v>
      </c>
      <c r="O477" t="s">
        <v>4282</v>
      </c>
      <c r="P477" t="s">
        <v>4742</v>
      </c>
      <c r="Q477" t="s">
        <v>5732</v>
      </c>
      <c r="R477" t="s">
        <v>5753</v>
      </c>
      <c r="S477" t="s">
        <v>5759</v>
      </c>
      <c r="T477" t="s">
        <v>4276</v>
      </c>
      <c r="V477" t="s">
        <v>5767</v>
      </c>
      <c r="W477" t="s">
        <v>5772</v>
      </c>
      <c r="X477" t="s">
        <v>177</v>
      </c>
      <c r="Y477">
        <v>1400</v>
      </c>
      <c r="Z477" t="s">
        <v>5803</v>
      </c>
      <c r="AA477" t="s">
        <v>5804</v>
      </c>
      <c r="AB477" t="s">
        <v>5821</v>
      </c>
      <c r="AC477" t="s">
        <v>6285</v>
      </c>
      <c r="AD477" t="s">
        <v>7482</v>
      </c>
      <c r="AE477" t="s">
        <v>8288</v>
      </c>
      <c r="AF477">
        <v>2</v>
      </c>
      <c r="AG477" t="s">
        <v>9269</v>
      </c>
      <c r="AH477" t="s">
        <v>4280</v>
      </c>
      <c r="AI477">
        <v>1</v>
      </c>
      <c r="AJ477">
        <v>1</v>
      </c>
      <c r="AK477">
        <v>2</v>
      </c>
      <c r="AL477">
        <v>0</v>
      </c>
      <c r="AP477">
        <v>0</v>
      </c>
      <c r="AV477">
        <v>1.65</v>
      </c>
      <c r="AW477" t="s">
        <v>74</v>
      </c>
    </row>
    <row r="478" spans="1:49">
      <c r="A478" s="1">
        <f>HYPERLINK("https://cms.ls-nyc.org/matter/dynamic-profile/view/1875125","18-1875125")</f>
        <v>0</v>
      </c>
      <c r="B478" t="s">
        <v>61</v>
      </c>
      <c r="C478" t="s">
        <v>82</v>
      </c>
      <c r="D478" t="s">
        <v>177</v>
      </c>
      <c r="E478" t="s">
        <v>290</v>
      </c>
      <c r="F478" t="s">
        <v>710</v>
      </c>
      <c r="G478" t="s">
        <v>1781</v>
      </c>
      <c r="H478" t="s">
        <v>2940</v>
      </c>
      <c r="I478" t="s">
        <v>3870</v>
      </c>
      <c r="J478" t="s">
        <v>4237</v>
      </c>
      <c r="K478">
        <v>11356</v>
      </c>
      <c r="L478" t="s">
        <v>4275</v>
      </c>
      <c r="M478" t="s">
        <v>4275</v>
      </c>
      <c r="O478" t="s">
        <v>4282</v>
      </c>
      <c r="P478" t="s">
        <v>4743</v>
      </c>
      <c r="Q478" t="s">
        <v>5732</v>
      </c>
      <c r="R478" t="s">
        <v>5753</v>
      </c>
      <c r="S478" t="s">
        <v>5759</v>
      </c>
      <c r="T478" t="s">
        <v>4276</v>
      </c>
      <c r="V478" t="s">
        <v>5767</v>
      </c>
      <c r="W478" t="s">
        <v>5772</v>
      </c>
      <c r="X478" t="s">
        <v>177</v>
      </c>
      <c r="Y478">
        <v>1400</v>
      </c>
      <c r="Z478" t="s">
        <v>5803</v>
      </c>
      <c r="AA478" t="s">
        <v>5804</v>
      </c>
      <c r="AB478" t="s">
        <v>5821</v>
      </c>
      <c r="AC478" t="s">
        <v>6286</v>
      </c>
      <c r="AD478" t="s">
        <v>7483</v>
      </c>
      <c r="AE478" t="s">
        <v>8289</v>
      </c>
      <c r="AF478">
        <v>3</v>
      </c>
      <c r="AG478" t="s">
        <v>9269</v>
      </c>
      <c r="AH478" t="s">
        <v>4280</v>
      </c>
      <c r="AI478">
        <v>11</v>
      </c>
      <c r="AJ478">
        <v>2</v>
      </c>
      <c r="AK478">
        <v>0</v>
      </c>
      <c r="AL478">
        <v>0</v>
      </c>
      <c r="AO478" t="s">
        <v>1425</v>
      </c>
      <c r="AP478">
        <v>0</v>
      </c>
      <c r="AV478">
        <v>1</v>
      </c>
      <c r="AW478" t="s">
        <v>73</v>
      </c>
    </row>
    <row r="479" spans="1:49">
      <c r="A479" s="1">
        <f>HYPERLINK("https://cms.ls-nyc.org/matter/dynamic-profile/view/1873286","18-1873286")</f>
        <v>0</v>
      </c>
      <c r="B479" t="s">
        <v>61</v>
      </c>
      <c r="C479" t="s">
        <v>83</v>
      </c>
      <c r="D479" t="s">
        <v>133</v>
      </c>
      <c r="F479" t="s">
        <v>684</v>
      </c>
      <c r="G479" t="s">
        <v>1782</v>
      </c>
      <c r="H479" t="s">
        <v>2941</v>
      </c>
      <c r="J479" t="s">
        <v>4222</v>
      </c>
      <c r="K479">
        <v>11436</v>
      </c>
      <c r="L479" t="s">
        <v>4275</v>
      </c>
      <c r="M479" t="s">
        <v>4275</v>
      </c>
      <c r="O479" t="s">
        <v>4282</v>
      </c>
      <c r="P479" t="s">
        <v>4744</v>
      </c>
      <c r="Q479" t="s">
        <v>5732</v>
      </c>
      <c r="R479" t="s">
        <v>5753</v>
      </c>
      <c r="T479" t="s">
        <v>4276</v>
      </c>
      <c r="V479" t="s">
        <v>5767</v>
      </c>
      <c r="W479" t="s">
        <v>5771</v>
      </c>
      <c r="X479" t="s">
        <v>133</v>
      </c>
      <c r="Y479">
        <v>1700</v>
      </c>
      <c r="Z479" t="s">
        <v>5803</v>
      </c>
      <c r="AA479" t="s">
        <v>5804</v>
      </c>
      <c r="AC479" t="s">
        <v>6287</v>
      </c>
      <c r="AD479" t="s">
        <v>7484</v>
      </c>
      <c r="AE479" t="s">
        <v>8290</v>
      </c>
      <c r="AF479">
        <v>1</v>
      </c>
      <c r="AG479" t="s">
        <v>9269</v>
      </c>
      <c r="AH479" t="s">
        <v>4280</v>
      </c>
      <c r="AI479">
        <v>3</v>
      </c>
      <c r="AJ479">
        <v>5</v>
      </c>
      <c r="AK479">
        <v>3</v>
      </c>
      <c r="AL479">
        <v>15.09</v>
      </c>
      <c r="AO479" t="s">
        <v>1425</v>
      </c>
      <c r="AP479">
        <v>6396</v>
      </c>
      <c r="AV479">
        <v>4.8</v>
      </c>
      <c r="AW479" t="s">
        <v>73</v>
      </c>
    </row>
    <row r="480" spans="1:49">
      <c r="A480" s="1">
        <f>HYPERLINK("https://cms.ls-nyc.org/matter/dynamic-profile/view/1875199","18-1875199")</f>
        <v>0</v>
      </c>
      <c r="B480" t="s">
        <v>61</v>
      </c>
      <c r="C480" t="s">
        <v>82</v>
      </c>
      <c r="D480" t="s">
        <v>177</v>
      </c>
      <c r="E480" t="s">
        <v>290</v>
      </c>
      <c r="F480" t="s">
        <v>711</v>
      </c>
      <c r="G480" t="s">
        <v>1783</v>
      </c>
      <c r="H480" t="s">
        <v>2942</v>
      </c>
      <c r="I480" t="s">
        <v>3950</v>
      </c>
      <c r="J480" t="s">
        <v>4235</v>
      </c>
      <c r="K480">
        <v>11421</v>
      </c>
      <c r="L480" t="s">
        <v>4275</v>
      </c>
      <c r="M480" t="s">
        <v>4275</v>
      </c>
      <c r="O480" t="s">
        <v>4282</v>
      </c>
      <c r="P480" t="s">
        <v>4745</v>
      </c>
      <c r="Q480" t="s">
        <v>5732</v>
      </c>
      <c r="R480" t="s">
        <v>5753</v>
      </c>
      <c r="S480" t="s">
        <v>5759</v>
      </c>
      <c r="T480" t="s">
        <v>4276</v>
      </c>
      <c r="V480" t="s">
        <v>5767</v>
      </c>
      <c r="W480" t="s">
        <v>5772</v>
      </c>
      <c r="X480" t="s">
        <v>177</v>
      </c>
      <c r="Y480">
        <v>1425</v>
      </c>
      <c r="Z480" t="s">
        <v>5803</v>
      </c>
      <c r="AA480" t="s">
        <v>5804</v>
      </c>
      <c r="AB480" t="s">
        <v>5821</v>
      </c>
      <c r="AC480" t="s">
        <v>177</v>
      </c>
      <c r="AD480" t="s">
        <v>7485</v>
      </c>
      <c r="AE480" t="s">
        <v>8291</v>
      </c>
      <c r="AF480">
        <v>2</v>
      </c>
      <c r="AH480" t="s">
        <v>9282</v>
      </c>
      <c r="AI480">
        <v>2</v>
      </c>
      <c r="AJ480">
        <v>1</v>
      </c>
      <c r="AK480">
        <v>2</v>
      </c>
      <c r="AL480">
        <v>50.05</v>
      </c>
      <c r="AO480" t="s">
        <v>1425</v>
      </c>
      <c r="AP480">
        <v>10400</v>
      </c>
      <c r="AV480">
        <v>1.2</v>
      </c>
      <c r="AW480" t="s">
        <v>54</v>
      </c>
    </row>
    <row r="481" spans="1:49">
      <c r="A481" s="1">
        <f>HYPERLINK("https://cms.ls-nyc.org/matter/dynamic-profile/view/1876345","18-1876345")</f>
        <v>0</v>
      </c>
      <c r="B481" t="s">
        <v>61</v>
      </c>
      <c r="C481" t="s">
        <v>82</v>
      </c>
      <c r="D481" t="s">
        <v>194</v>
      </c>
      <c r="E481" t="s">
        <v>199</v>
      </c>
      <c r="F481" t="s">
        <v>712</v>
      </c>
      <c r="G481" t="s">
        <v>1784</v>
      </c>
      <c r="H481" t="s">
        <v>2943</v>
      </c>
      <c r="I481" t="s">
        <v>3864</v>
      </c>
      <c r="J481" t="s">
        <v>4243</v>
      </c>
      <c r="K481">
        <v>11691</v>
      </c>
      <c r="L481" t="s">
        <v>4275</v>
      </c>
      <c r="M481" t="s">
        <v>4275</v>
      </c>
      <c r="O481" t="s">
        <v>4283</v>
      </c>
      <c r="P481" t="s">
        <v>4746</v>
      </c>
      <c r="Q481" t="s">
        <v>5732</v>
      </c>
      <c r="R481" t="s">
        <v>5753</v>
      </c>
      <c r="S481" t="s">
        <v>5759</v>
      </c>
      <c r="T481" t="s">
        <v>4276</v>
      </c>
      <c r="V481" t="s">
        <v>5767</v>
      </c>
      <c r="W481" t="s">
        <v>5772</v>
      </c>
      <c r="X481" t="s">
        <v>194</v>
      </c>
      <c r="Y481">
        <v>1400</v>
      </c>
      <c r="Z481" t="s">
        <v>5803</v>
      </c>
      <c r="AA481" t="s">
        <v>5804</v>
      </c>
      <c r="AB481" t="s">
        <v>5821</v>
      </c>
      <c r="AC481" t="s">
        <v>6288</v>
      </c>
      <c r="AD481" t="s">
        <v>7486</v>
      </c>
      <c r="AE481" t="s">
        <v>8292</v>
      </c>
      <c r="AF481">
        <v>2</v>
      </c>
      <c r="AG481" t="s">
        <v>9269</v>
      </c>
      <c r="AH481" t="s">
        <v>9285</v>
      </c>
      <c r="AI481">
        <v>5</v>
      </c>
      <c r="AJ481">
        <v>2</v>
      </c>
      <c r="AK481">
        <v>0</v>
      </c>
      <c r="AL481">
        <v>54.68</v>
      </c>
      <c r="AO481" t="s">
        <v>1425</v>
      </c>
      <c r="AP481">
        <v>9000</v>
      </c>
      <c r="AV481">
        <v>1.35</v>
      </c>
      <c r="AW481" t="s">
        <v>73</v>
      </c>
    </row>
    <row r="482" spans="1:49">
      <c r="A482" s="1">
        <f>HYPERLINK("https://cms.ls-nyc.org/matter/dynamic-profile/view/1873273","18-1873273")</f>
        <v>0</v>
      </c>
      <c r="B482" t="s">
        <v>61</v>
      </c>
      <c r="C482" t="s">
        <v>82</v>
      </c>
      <c r="D482" t="s">
        <v>133</v>
      </c>
      <c r="E482" t="s">
        <v>302</v>
      </c>
      <c r="F482" t="s">
        <v>713</v>
      </c>
      <c r="G482" t="s">
        <v>1785</v>
      </c>
      <c r="H482" t="s">
        <v>2944</v>
      </c>
      <c r="I482" t="s">
        <v>3864</v>
      </c>
      <c r="J482" t="s">
        <v>4243</v>
      </c>
      <c r="K482">
        <v>11691</v>
      </c>
      <c r="L482" t="s">
        <v>4275</v>
      </c>
      <c r="M482" t="s">
        <v>4275</v>
      </c>
      <c r="O482" t="s">
        <v>4283</v>
      </c>
      <c r="P482" t="s">
        <v>4747</v>
      </c>
      <c r="Q482" t="s">
        <v>5732</v>
      </c>
      <c r="R482" t="s">
        <v>5751</v>
      </c>
      <c r="S482" t="s">
        <v>5758</v>
      </c>
      <c r="T482" t="s">
        <v>4276</v>
      </c>
      <c r="V482" t="s">
        <v>5767</v>
      </c>
      <c r="W482" t="s">
        <v>5772</v>
      </c>
      <c r="X482" t="s">
        <v>242</v>
      </c>
      <c r="Y482">
        <v>1500</v>
      </c>
      <c r="Z482" t="s">
        <v>5803</v>
      </c>
      <c r="AA482" t="s">
        <v>5804</v>
      </c>
      <c r="AB482" t="s">
        <v>5820</v>
      </c>
      <c r="AC482" t="s">
        <v>6289</v>
      </c>
      <c r="AD482" t="s">
        <v>7487</v>
      </c>
      <c r="AE482" t="s">
        <v>8293</v>
      </c>
      <c r="AF482">
        <v>3</v>
      </c>
      <c r="AG482" t="s">
        <v>9269</v>
      </c>
      <c r="AH482" t="s">
        <v>4280</v>
      </c>
      <c r="AI482">
        <v>4</v>
      </c>
      <c r="AJ482">
        <v>2</v>
      </c>
      <c r="AK482">
        <v>3</v>
      </c>
      <c r="AL482">
        <v>55.06</v>
      </c>
      <c r="AO482" t="s">
        <v>1425</v>
      </c>
      <c r="AP482">
        <v>16200</v>
      </c>
      <c r="AS482" t="s">
        <v>9336</v>
      </c>
      <c r="AT482" t="s">
        <v>9369</v>
      </c>
      <c r="AU482" t="s">
        <v>9467</v>
      </c>
      <c r="AV482">
        <v>3.8</v>
      </c>
      <c r="AW482" t="s">
        <v>73</v>
      </c>
    </row>
    <row r="483" spans="1:49">
      <c r="A483" s="1">
        <f>HYPERLINK("https://cms.ls-nyc.org/matter/dynamic-profile/view/1876363","18-1876363")</f>
        <v>0</v>
      </c>
      <c r="B483" t="s">
        <v>61</v>
      </c>
      <c r="C483" t="s">
        <v>83</v>
      </c>
      <c r="D483" t="s">
        <v>194</v>
      </c>
      <c r="F483" t="s">
        <v>714</v>
      </c>
      <c r="G483" t="s">
        <v>1786</v>
      </c>
      <c r="H483" t="s">
        <v>2945</v>
      </c>
      <c r="I483" t="s">
        <v>4011</v>
      </c>
      <c r="J483" t="s">
        <v>4234</v>
      </c>
      <c r="K483">
        <v>11102</v>
      </c>
      <c r="L483" t="s">
        <v>4275</v>
      </c>
      <c r="M483" t="s">
        <v>4275</v>
      </c>
      <c r="O483" t="s">
        <v>4282</v>
      </c>
      <c r="P483" t="s">
        <v>4748</v>
      </c>
      <c r="Q483" t="s">
        <v>5731</v>
      </c>
      <c r="R483" t="s">
        <v>5753</v>
      </c>
      <c r="T483" t="s">
        <v>4276</v>
      </c>
      <c r="V483" t="s">
        <v>5767</v>
      </c>
      <c r="W483" t="s">
        <v>5771</v>
      </c>
      <c r="X483" t="s">
        <v>287</v>
      </c>
      <c r="Y483">
        <v>1800</v>
      </c>
      <c r="Z483" t="s">
        <v>5803</v>
      </c>
      <c r="AA483" t="s">
        <v>5804</v>
      </c>
      <c r="AC483" t="s">
        <v>6290</v>
      </c>
      <c r="AD483" t="s">
        <v>7488</v>
      </c>
      <c r="AE483" t="s">
        <v>8294</v>
      </c>
      <c r="AF483">
        <v>119</v>
      </c>
      <c r="AG483" t="s">
        <v>9272</v>
      </c>
      <c r="AH483" t="s">
        <v>9287</v>
      </c>
      <c r="AI483">
        <v>8</v>
      </c>
      <c r="AJ483">
        <v>1</v>
      </c>
      <c r="AK483">
        <v>0</v>
      </c>
      <c r="AL483">
        <v>61.78</v>
      </c>
      <c r="AO483" t="s">
        <v>1425</v>
      </c>
      <c r="AP483">
        <v>7500</v>
      </c>
      <c r="AV483">
        <v>1.85</v>
      </c>
      <c r="AW483" t="s">
        <v>73</v>
      </c>
    </row>
    <row r="484" spans="1:49">
      <c r="A484" s="1">
        <f>HYPERLINK("https://cms.ls-nyc.org/matter/dynamic-profile/view/1874484","18-1874484")</f>
        <v>0</v>
      </c>
      <c r="B484" t="s">
        <v>61</v>
      </c>
      <c r="C484" t="s">
        <v>82</v>
      </c>
      <c r="D484" t="s">
        <v>212</v>
      </c>
      <c r="E484" t="s">
        <v>290</v>
      </c>
      <c r="F484" t="s">
        <v>715</v>
      </c>
      <c r="G484" t="s">
        <v>1787</v>
      </c>
      <c r="H484" t="s">
        <v>2946</v>
      </c>
      <c r="I484" t="s">
        <v>3950</v>
      </c>
      <c r="J484" t="s">
        <v>4222</v>
      </c>
      <c r="K484">
        <v>11435</v>
      </c>
      <c r="L484" t="s">
        <v>4275</v>
      </c>
      <c r="M484" t="s">
        <v>4275</v>
      </c>
      <c r="O484" t="s">
        <v>4282</v>
      </c>
      <c r="P484" t="s">
        <v>4749</v>
      </c>
      <c r="Q484" t="s">
        <v>5732</v>
      </c>
      <c r="R484" t="s">
        <v>5753</v>
      </c>
      <c r="S484" t="s">
        <v>5759</v>
      </c>
      <c r="T484" t="s">
        <v>4276</v>
      </c>
      <c r="U484" t="s">
        <v>4282</v>
      </c>
      <c r="V484" t="s">
        <v>5767</v>
      </c>
      <c r="W484" t="s">
        <v>5772</v>
      </c>
      <c r="X484" t="s">
        <v>212</v>
      </c>
      <c r="Y484">
        <v>1200</v>
      </c>
      <c r="Z484" t="s">
        <v>5803</v>
      </c>
      <c r="AA484" t="s">
        <v>5804</v>
      </c>
      <c r="AB484" t="s">
        <v>5821</v>
      </c>
      <c r="AC484" t="s">
        <v>6291</v>
      </c>
      <c r="AE484" t="s">
        <v>8295</v>
      </c>
      <c r="AF484">
        <v>3</v>
      </c>
      <c r="AG484" t="s">
        <v>9269</v>
      </c>
      <c r="AH484" t="s">
        <v>4280</v>
      </c>
      <c r="AI484">
        <v>2</v>
      </c>
      <c r="AJ484">
        <v>2</v>
      </c>
      <c r="AK484">
        <v>0</v>
      </c>
      <c r="AL484">
        <v>91.13</v>
      </c>
      <c r="AN484" t="s">
        <v>9294</v>
      </c>
      <c r="AO484" t="s">
        <v>1425</v>
      </c>
      <c r="AP484">
        <v>15000</v>
      </c>
      <c r="AV484">
        <v>1.1</v>
      </c>
      <c r="AW484" t="s">
        <v>54</v>
      </c>
    </row>
    <row r="485" spans="1:49">
      <c r="A485" s="1">
        <f>HYPERLINK("https://cms.ls-nyc.org/matter/dynamic-profile/view/1876331","18-1876331")</f>
        <v>0</v>
      </c>
      <c r="B485" t="s">
        <v>61</v>
      </c>
      <c r="C485" t="s">
        <v>83</v>
      </c>
      <c r="D485" t="s">
        <v>194</v>
      </c>
      <c r="F485" t="s">
        <v>716</v>
      </c>
      <c r="G485" t="s">
        <v>1788</v>
      </c>
      <c r="H485" t="s">
        <v>2947</v>
      </c>
      <c r="I485" t="s">
        <v>4012</v>
      </c>
      <c r="J485" t="s">
        <v>4222</v>
      </c>
      <c r="K485">
        <v>11432</v>
      </c>
      <c r="L485" t="s">
        <v>4275</v>
      </c>
      <c r="M485" t="s">
        <v>4275</v>
      </c>
      <c r="O485" t="s">
        <v>4282</v>
      </c>
      <c r="P485" t="s">
        <v>4750</v>
      </c>
      <c r="Q485" t="s">
        <v>5732</v>
      </c>
      <c r="R485" t="s">
        <v>5753</v>
      </c>
      <c r="T485" t="s">
        <v>4276</v>
      </c>
      <c r="V485" t="s">
        <v>5767</v>
      </c>
      <c r="W485" t="s">
        <v>5772</v>
      </c>
      <c r="X485" t="s">
        <v>194</v>
      </c>
      <c r="Y485">
        <v>2200</v>
      </c>
      <c r="Z485" t="s">
        <v>5803</v>
      </c>
      <c r="AA485" t="s">
        <v>5804</v>
      </c>
      <c r="AC485" t="s">
        <v>6292</v>
      </c>
      <c r="AD485" t="s">
        <v>7489</v>
      </c>
      <c r="AE485" t="s">
        <v>8296</v>
      </c>
      <c r="AF485">
        <v>59</v>
      </c>
      <c r="AG485" t="s">
        <v>9272</v>
      </c>
      <c r="AH485" t="s">
        <v>4280</v>
      </c>
      <c r="AI485">
        <v>4</v>
      </c>
      <c r="AJ485">
        <v>3</v>
      </c>
      <c r="AK485">
        <v>1</v>
      </c>
      <c r="AL485">
        <v>163.35</v>
      </c>
      <c r="AO485" t="s">
        <v>9301</v>
      </c>
      <c r="AP485">
        <v>41000</v>
      </c>
      <c r="AV485">
        <v>2.2</v>
      </c>
      <c r="AW485" t="s">
        <v>73</v>
      </c>
    </row>
    <row r="486" spans="1:49">
      <c r="A486" s="1">
        <f>HYPERLINK("https://cms.ls-nyc.org/matter/dynamic-profile/view/1871528","18-1871528")</f>
        <v>0</v>
      </c>
      <c r="B486" t="s">
        <v>61</v>
      </c>
      <c r="C486" t="s">
        <v>82</v>
      </c>
      <c r="D486" t="s">
        <v>102</v>
      </c>
      <c r="E486" t="s">
        <v>303</v>
      </c>
      <c r="F486" t="s">
        <v>717</v>
      </c>
      <c r="G486" t="s">
        <v>1789</v>
      </c>
      <c r="H486" t="s">
        <v>2948</v>
      </c>
      <c r="I486">
        <v>706</v>
      </c>
      <c r="J486" t="s">
        <v>4240</v>
      </c>
      <c r="K486">
        <v>11373</v>
      </c>
      <c r="L486" t="s">
        <v>4275</v>
      </c>
      <c r="M486" t="s">
        <v>4275</v>
      </c>
      <c r="O486" t="s">
        <v>4281</v>
      </c>
      <c r="P486" t="s">
        <v>4751</v>
      </c>
      <c r="Q486" t="s">
        <v>5731</v>
      </c>
      <c r="R486" t="s">
        <v>5751</v>
      </c>
      <c r="S486" t="s">
        <v>5758</v>
      </c>
      <c r="T486" t="s">
        <v>4276</v>
      </c>
      <c r="V486" t="s">
        <v>5767</v>
      </c>
      <c r="W486" t="s">
        <v>5772</v>
      </c>
      <c r="X486" t="s">
        <v>219</v>
      </c>
      <c r="Y486">
        <v>2680</v>
      </c>
      <c r="Z486" t="s">
        <v>5803</v>
      </c>
      <c r="AA486" t="s">
        <v>5804</v>
      </c>
      <c r="AB486" t="s">
        <v>5822</v>
      </c>
      <c r="AC486" t="s">
        <v>6293</v>
      </c>
      <c r="AD486" t="s">
        <v>4280</v>
      </c>
      <c r="AE486" t="s">
        <v>8297</v>
      </c>
      <c r="AF486">
        <v>276</v>
      </c>
      <c r="AG486" t="s">
        <v>9272</v>
      </c>
      <c r="AH486" t="s">
        <v>4280</v>
      </c>
      <c r="AI486">
        <v>3</v>
      </c>
      <c r="AJ486">
        <v>3</v>
      </c>
      <c r="AK486">
        <v>1</v>
      </c>
      <c r="AL486">
        <v>167.33</v>
      </c>
      <c r="AO486" t="s">
        <v>1425</v>
      </c>
      <c r="AP486">
        <v>42000</v>
      </c>
      <c r="AS486" t="s">
        <v>5806</v>
      </c>
      <c r="AT486" t="s">
        <v>9370</v>
      </c>
      <c r="AU486" t="s">
        <v>9468</v>
      </c>
      <c r="AV486">
        <v>4.1</v>
      </c>
      <c r="AW486" t="s">
        <v>54</v>
      </c>
    </row>
    <row r="487" spans="1:49">
      <c r="A487" s="1">
        <f>HYPERLINK("https://cms.ls-nyc.org/matter/dynamic-profile/view/1872716","18-1872716")</f>
        <v>0</v>
      </c>
      <c r="B487" t="s">
        <v>61</v>
      </c>
      <c r="C487" t="s">
        <v>82</v>
      </c>
      <c r="D487" t="s">
        <v>143</v>
      </c>
      <c r="E487" t="s">
        <v>187</v>
      </c>
      <c r="F487" t="s">
        <v>693</v>
      </c>
      <c r="G487" t="s">
        <v>1790</v>
      </c>
      <c r="H487" t="s">
        <v>2949</v>
      </c>
      <c r="I487" t="s">
        <v>3921</v>
      </c>
      <c r="J487" t="s">
        <v>4240</v>
      </c>
      <c r="K487">
        <v>11373</v>
      </c>
      <c r="L487" t="s">
        <v>4275</v>
      </c>
      <c r="M487" t="s">
        <v>4275</v>
      </c>
      <c r="O487" t="s">
        <v>4281</v>
      </c>
      <c r="P487" t="s">
        <v>4752</v>
      </c>
      <c r="Q487" t="s">
        <v>5732</v>
      </c>
      <c r="R487" t="s">
        <v>5751</v>
      </c>
      <c r="S487" t="s">
        <v>5758</v>
      </c>
      <c r="T487" t="s">
        <v>4276</v>
      </c>
      <c r="V487" t="s">
        <v>5767</v>
      </c>
      <c r="X487" t="s">
        <v>143</v>
      </c>
      <c r="Y487">
        <v>800</v>
      </c>
      <c r="Z487" t="s">
        <v>5803</v>
      </c>
      <c r="AA487" t="s">
        <v>5809</v>
      </c>
      <c r="AB487" t="s">
        <v>5822</v>
      </c>
      <c r="AC487" t="s">
        <v>6294</v>
      </c>
      <c r="AD487" t="s">
        <v>4280</v>
      </c>
      <c r="AE487" t="s">
        <v>8298</v>
      </c>
      <c r="AF487">
        <v>2</v>
      </c>
      <c r="AG487" t="s">
        <v>9269</v>
      </c>
      <c r="AH487" t="s">
        <v>4280</v>
      </c>
      <c r="AI487">
        <v>5</v>
      </c>
      <c r="AJ487">
        <v>2</v>
      </c>
      <c r="AK487">
        <v>0</v>
      </c>
      <c r="AL487">
        <v>170.11</v>
      </c>
      <c r="AN487" t="s">
        <v>9297</v>
      </c>
      <c r="AO487" t="s">
        <v>9298</v>
      </c>
      <c r="AP487">
        <v>28000</v>
      </c>
      <c r="AS487" t="s">
        <v>9340</v>
      </c>
      <c r="AT487" t="s">
        <v>9370</v>
      </c>
      <c r="AU487" t="s">
        <v>9469</v>
      </c>
      <c r="AV487">
        <v>26.8</v>
      </c>
      <c r="AW487" t="s">
        <v>76</v>
      </c>
    </row>
    <row r="488" spans="1:49">
      <c r="A488" s="1">
        <f>HYPERLINK("https://cms.ls-nyc.org/matter/dynamic-profile/view/1875602","18-1875602")</f>
        <v>0</v>
      </c>
      <c r="B488" t="s">
        <v>61</v>
      </c>
      <c r="C488" t="s">
        <v>82</v>
      </c>
      <c r="D488" t="s">
        <v>122</v>
      </c>
      <c r="E488" t="s">
        <v>257</v>
      </c>
      <c r="F488" t="s">
        <v>718</v>
      </c>
      <c r="G488" t="s">
        <v>1791</v>
      </c>
      <c r="H488" t="s">
        <v>2950</v>
      </c>
      <c r="I488">
        <v>605</v>
      </c>
      <c r="J488" t="s">
        <v>4254</v>
      </c>
      <c r="K488">
        <v>11692</v>
      </c>
      <c r="L488" t="s">
        <v>4275</v>
      </c>
      <c r="M488" t="s">
        <v>4275</v>
      </c>
      <c r="O488" t="s">
        <v>4283</v>
      </c>
      <c r="P488" t="s">
        <v>4753</v>
      </c>
      <c r="Q488" t="s">
        <v>5731</v>
      </c>
      <c r="R488" t="s">
        <v>5753</v>
      </c>
      <c r="S488" t="s">
        <v>5759</v>
      </c>
      <c r="T488" t="s">
        <v>4276</v>
      </c>
      <c r="V488" t="s">
        <v>5767</v>
      </c>
      <c r="W488" t="s">
        <v>5774</v>
      </c>
      <c r="X488" t="s">
        <v>122</v>
      </c>
      <c r="Y488">
        <v>1400</v>
      </c>
      <c r="Z488" t="s">
        <v>5803</v>
      </c>
      <c r="AA488" t="s">
        <v>5804</v>
      </c>
      <c r="AB488" t="s">
        <v>5821</v>
      </c>
      <c r="AC488" t="s">
        <v>6295</v>
      </c>
      <c r="AD488" t="s">
        <v>4280</v>
      </c>
      <c r="AE488" t="s">
        <v>8299</v>
      </c>
      <c r="AF488">
        <v>217</v>
      </c>
      <c r="AG488" t="s">
        <v>9270</v>
      </c>
      <c r="AH488" t="s">
        <v>4280</v>
      </c>
      <c r="AI488">
        <v>4</v>
      </c>
      <c r="AJ488">
        <v>1</v>
      </c>
      <c r="AK488">
        <v>0</v>
      </c>
      <c r="AL488">
        <v>185.54</v>
      </c>
      <c r="AO488" t="s">
        <v>1425</v>
      </c>
      <c r="AP488">
        <v>22524</v>
      </c>
      <c r="AV488">
        <v>2.3</v>
      </c>
      <c r="AW488" t="s">
        <v>73</v>
      </c>
    </row>
    <row r="489" spans="1:49">
      <c r="A489" s="1">
        <f>HYPERLINK("https://cms.ls-nyc.org/matter/dynamic-profile/view/1871938","18-1871938")</f>
        <v>0</v>
      </c>
      <c r="B489" t="s">
        <v>61</v>
      </c>
      <c r="C489" t="s">
        <v>82</v>
      </c>
      <c r="D489" t="s">
        <v>113</v>
      </c>
      <c r="E489" t="s">
        <v>290</v>
      </c>
      <c r="F489" t="s">
        <v>405</v>
      </c>
      <c r="G489" t="s">
        <v>1792</v>
      </c>
      <c r="H489" t="s">
        <v>2951</v>
      </c>
      <c r="I489" t="s">
        <v>4013</v>
      </c>
      <c r="J489" t="s">
        <v>4251</v>
      </c>
      <c r="K489">
        <v>11377</v>
      </c>
      <c r="L489" t="s">
        <v>4275</v>
      </c>
      <c r="M489" t="s">
        <v>4275</v>
      </c>
      <c r="O489" t="s">
        <v>4282</v>
      </c>
      <c r="P489" t="s">
        <v>4754</v>
      </c>
      <c r="Q489" t="s">
        <v>5731</v>
      </c>
      <c r="R489" t="s">
        <v>5751</v>
      </c>
      <c r="S489" t="s">
        <v>5758</v>
      </c>
      <c r="T489" t="s">
        <v>4276</v>
      </c>
      <c r="V489" t="s">
        <v>5767</v>
      </c>
      <c r="W489" t="s">
        <v>5772</v>
      </c>
      <c r="X489" t="s">
        <v>103</v>
      </c>
      <c r="Y489">
        <v>1051.69</v>
      </c>
      <c r="Z489" t="s">
        <v>5803</v>
      </c>
      <c r="AA489" t="s">
        <v>5804</v>
      </c>
      <c r="AB489" t="s">
        <v>5820</v>
      </c>
      <c r="AC489" t="s">
        <v>6296</v>
      </c>
      <c r="AE489" t="s">
        <v>8300</v>
      </c>
      <c r="AF489">
        <v>144</v>
      </c>
      <c r="AG489" t="s">
        <v>9269</v>
      </c>
      <c r="AH489" t="s">
        <v>4280</v>
      </c>
      <c r="AI489">
        <v>6</v>
      </c>
      <c r="AJ489">
        <v>2</v>
      </c>
      <c r="AK489">
        <v>2</v>
      </c>
      <c r="AL489">
        <v>199.2</v>
      </c>
      <c r="AP489">
        <v>50000</v>
      </c>
      <c r="AS489" t="s">
        <v>9340</v>
      </c>
      <c r="AT489" t="s">
        <v>9369</v>
      </c>
      <c r="AU489" t="s">
        <v>9470</v>
      </c>
      <c r="AV489">
        <v>7.75</v>
      </c>
      <c r="AW489" t="s">
        <v>74</v>
      </c>
    </row>
    <row r="490" spans="1:49">
      <c r="A490" s="1">
        <f>HYPERLINK("https://cms.ls-nyc.org/matter/dynamic-profile/view/1899529","19-1899529")</f>
        <v>0</v>
      </c>
      <c r="B490" t="s">
        <v>62</v>
      </c>
      <c r="C490" t="s">
        <v>83</v>
      </c>
      <c r="D490" t="s">
        <v>124</v>
      </c>
      <c r="F490" t="s">
        <v>719</v>
      </c>
      <c r="G490" t="s">
        <v>1793</v>
      </c>
      <c r="H490" t="s">
        <v>2952</v>
      </c>
      <c r="I490">
        <v>3</v>
      </c>
      <c r="J490" t="s">
        <v>4226</v>
      </c>
      <c r="K490">
        <v>11385</v>
      </c>
      <c r="L490" t="s">
        <v>4275</v>
      </c>
      <c r="M490" t="s">
        <v>4277</v>
      </c>
      <c r="N490" t="s">
        <v>4278</v>
      </c>
      <c r="O490" t="s">
        <v>4281</v>
      </c>
      <c r="P490" t="s">
        <v>4755</v>
      </c>
      <c r="Q490" t="s">
        <v>5732</v>
      </c>
      <c r="R490" t="s">
        <v>5751</v>
      </c>
      <c r="T490" t="s">
        <v>4276</v>
      </c>
      <c r="V490" t="s">
        <v>5767</v>
      </c>
      <c r="W490" t="s">
        <v>5772</v>
      </c>
      <c r="X490" t="s">
        <v>161</v>
      </c>
      <c r="Y490">
        <v>1268</v>
      </c>
      <c r="Z490" t="s">
        <v>5803</v>
      </c>
      <c r="AA490" t="s">
        <v>5805</v>
      </c>
      <c r="AC490" t="s">
        <v>6297</v>
      </c>
      <c r="AF490">
        <v>3</v>
      </c>
      <c r="AG490" t="s">
        <v>9269</v>
      </c>
      <c r="AI490">
        <v>3</v>
      </c>
      <c r="AJ490">
        <v>1</v>
      </c>
      <c r="AK490">
        <v>1</v>
      </c>
      <c r="AL490">
        <v>0</v>
      </c>
      <c r="AO490" t="s">
        <v>1425</v>
      </c>
      <c r="AP490">
        <v>0</v>
      </c>
      <c r="AV490">
        <v>14.12</v>
      </c>
      <c r="AW490" t="s">
        <v>62</v>
      </c>
    </row>
    <row r="491" spans="1:49">
      <c r="A491" s="1">
        <f>HYPERLINK("https://cms.ls-nyc.org/matter/dynamic-profile/view/1899532","19-1899532")</f>
        <v>0</v>
      </c>
      <c r="B491" t="s">
        <v>62</v>
      </c>
      <c r="C491" t="s">
        <v>83</v>
      </c>
      <c r="D491" t="s">
        <v>124</v>
      </c>
      <c r="F491" t="s">
        <v>720</v>
      </c>
      <c r="G491" t="s">
        <v>1794</v>
      </c>
      <c r="H491" t="s">
        <v>2953</v>
      </c>
      <c r="J491" t="s">
        <v>4226</v>
      </c>
      <c r="K491">
        <v>11385</v>
      </c>
      <c r="L491" t="s">
        <v>4275</v>
      </c>
      <c r="M491" t="s">
        <v>4277</v>
      </c>
      <c r="N491" t="s">
        <v>4278</v>
      </c>
      <c r="O491" t="s">
        <v>4281</v>
      </c>
      <c r="P491" t="s">
        <v>4756</v>
      </c>
      <c r="Q491" t="s">
        <v>5731</v>
      </c>
      <c r="R491" t="s">
        <v>5751</v>
      </c>
      <c r="T491" t="s">
        <v>4276</v>
      </c>
      <c r="V491" t="s">
        <v>5767</v>
      </c>
      <c r="W491" t="s">
        <v>5772</v>
      </c>
      <c r="X491" t="s">
        <v>161</v>
      </c>
      <c r="Y491">
        <v>0</v>
      </c>
      <c r="Z491" t="s">
        <v>5803</v>
      </c>
      <c r="AA491" t="s">
        <v>5805</v>
      </c>
      <c r="AC491" t="s">
        <v>6298</v>
      </c>
      <c r="AF491">
        <v>6</v>
      </c>
      <c r="AG491" t="s">
        <v>9272</v>
      </c>
      <c r="AI491">
        <v>10</v>
      </c>
      <c r="AJ491">
        <v>1</v>
      </c>
      <c r="AK491">
        <v>0</v>
      </c>
      <c r="AL491">
        <v>0</v>
      </c>
      <c r="AO491" t="s">
        <v>1425</v>
      </c>
      <c r="AP491">
        <v>0</v>
      </c>
      <c r="AT491" t="s">
        <v>9369</v>
      </c>
      <c r="AU491" t="s">
        <v>9393</v>
      </c>
      <c r="AV491">
        <v>8.300000000000001</v>
      </c>
      <c r="AW491" t="s">
        <v>62</v>
      </c>
    </row>
    <row r="492" spans="1:49">
      <c r="A492" s="1">
        <f>HYPERLINK("https://cms.ls-nyc.org/matter/dynamic-profile/view/1889378","19-1889378")</f>
        <v>0</v>
      </c>
      <c r="B492" t="s">
        <v>62</v>
      </c>
      <c r="C492" t="s">
        <v>83</v>
      </c>
      <c r="D492" t="s">
        <v>119</v>
      </c>
      <c r="F492" t="s">
        <v>721</v>
      </c>
      <c r="G492" t="s">
        <v>1795</v>
      </c>
      <c r="H492" t="s">
        <v>2954</v>
      </c>
      <c r="J492" t="s">
        <v>4229</v>
      </c>
      <c r="K492">
        <v>11355</v>
      </c>
      <c r="L492" t="s">
        <v>4275</v>
      </c>
      <c r="M492" t="s">
        <v>4275</v>
      </c>
      <c r="O492" t="s">
        <v>4282</v>
      </c>
      <c r="P492" t="s">
        <v>4757</v>
      </c>
      <c r="Q492" t="s">
        <v>5731</v>
      </c>
      <c r="R492" t="s">
        <v>5751</v>
      </c>
      <c r="T492" t="s">
        <v>4275</v>
      </c>
      <c r="V492" t="s">
        <v>5767</v>
      </c>
      <c r="W492" t="s">
        <v>5771</v>
      </c>
      <c r="X492" t="s">
        <v>119</v>
      </c>
      <c r="Y492">
        <v>923</v>
      </c>
      <c r="Z492" t="s">
        <v>5803</v>
      </c>
      <c r="AA492" t="s">
        <v>5804</v>
      </c>
      <c r="AC492" t="s">
        <v>6299</v>
      </c>
      <c r="AE492" t="s">
        <v>8301</v>
      </c>
      <c r="AF492">
        <v>2</v>
      </c>
      <c r="AG492" t="s">
        <v>9269</v>
      </c>
      <c r="AH492" t="s">
        <v>4280</v>
      </c>
      <c r="AI492">
        <v>40</v>
      </c>
      <c r="AJ492">
        <v>1</v>
      </c>
      <c r="AK492">
        <v>0</v>
      </c>
      <c r="AL492">
        <v>0</v>
      </c>
      <c r="AO492" t="s">
        <v>1425</v>
      </c>
      <c r="AP492">
        <v>0</v>
      </c>
      <c r="AV492">
        <v>24.3</v>
      </c>
      <c r="AW492" t="s">
        <v>73</v>
      </c>
    </row>
    <row r="493" spans="1:49">
      <c r="A493" s="1">
        <f>HYPERLINK("https://cms.ls-nyc.org/matter/dynamic-profile/view/1896660","19-1896660")</f>
        <v>0</v>
      </c>
      <c r="B493" t="s">
        <v>62</v>
      </c>
      <c r="C493" t="s">
        <v>83</v>
      </c>
      <c r="D493" t="s">
        <v>117</v>
      </c>
      <c r="F493" t="s">
        <v>722</v>
      </c>
      <c r="G493" t="s">
        <v>1553</v>
      </c>
      <c r="H493" t="s">
        <v>2955</v>
      </c>
      <c r="I493" t="s">
        <v>3866</v>
      </c>
      <c r="J493" t="s">
        <v>4225</v>
      </c>
      <c r="K493">
        <v>11385</v>
      </c>
      <c r="L493" t="s">
        <v>4275</v>
      </c>
      <c r="M493" t="s">
        <v>4275</v>
      </c>
      <c r="O493" t="s">
        <v>4281</v>
      </c>
      <c r="P493" t="s">
        <v>4758</v>
      </c>
      <c r="Q493" t="s">
        <v>5732</v>
      </c>
      <c r="R493" t="s">
        <v>5751</v>
      </c>
      <c r="T493" t="s">
        <v>4276</v>
      </c>
      <c r="V493" t="s">
        <v>5767</v>
      </c>
      <c r="W493" t="s">
        <v>5772</v>
      </c>
      <c r="X493" t="s">
        <v>117</v>
      </c>
      <c r="Y493">
        <v>750</v>
      </c>
      <c r="Z493" t="s">
        <v>5803</v>
      </c>
      <c r="AA493" t="s">
        <v>5804</v>
      </c>
      <c r="AC493" t="s">
        <v>6300</v>
      </c>
      <c r="AD493" t="s">
        <v>7490</v>
      </c>
      <c r="AE493" t="s">
        <v>8302</v>
      </c>
      <c r="AF493">
        <v>0</v>
      </c>
      <c r="AG493" t="s">
        <v>9270</v>
      </c>
      <c r="AH493" t="s">
        <v>4280</v>
      </c>
      <c r="AI493">
        <v>-1</v>
      </c>
      <c r="AJ493">
        <v>1</v>
      </c>
      <c r="AK493">
        <v>0</v>
      </c>
      <c r="AL493">
        <v>38.09</v>
      </c>
      <c r="AO493" t="s">
        <v>1425</v>
      </c>
      <c r="AP493">
        <v>4758</v>
      </c>
      <c r="AV493">
        <v>32.38</v>
      </c>
      <c r="AW493" t="s">
        <v>54</v>
      </c>
    </row>
    <row r="494" spans="1:49">
      <c r="A494" s="1">
        <f>HYPERLINK("https://cms.ls-nyc.org/matter/dynamic-profile/view/1900525","19-1900525")</f>
        <v>0</v>
      </c>
      <c r="B494" t="s">
        <v>62</v>
      </c>
      <c r="C494" t="s">
        <v>83</v>
      </c>
      <c r="D494" t="s">
        <v>87</v>
      </c>
      <c r="F494" t="s">
        <v>723</v>
      </c>
      <c r="G494" t="s">
        <v>1796</v>
      </c>
      <c r="H494" t="s">
        <v>2956</v>
      </c>
      <c r="I494" t="s">
        <v>3884</v>
      </c>
      <c r="J494" t="s">
        <v>4251</v>
      </c>
      <c r="K494">
        <v>11377</v>
      </c>
      <c r="L494" t="s">
        <v>4275</v>
      </c>
      <c r="M494" t="s">
        <v>4277</v>
      </c>
      <c r="N494" t="s">
        <v>4279</v>
      </c>
      <c r="O494" t="s">
        <v>4282</v>
      </c>
      <c r="P494" t="s">
        <v>4759</v>
      </c>
      <c r="Q494" t="s">
        <v>5731</v>
      </c>
      <c r="R494" t="s">
        <v>5751</v>
      </c>
      <c r="T494" t="s">
        <v>4276</v>
      </c>
      <c r="V494" t="s">
        <v>5768</v>
      </c>
      <c r="W494" t="s">
        <v>5772</v>
      </c>
      <c r="X494" t="s">
        <v>87</v>
      </c>
      <c r="Y494">
        <v>145</v>
      </c>
      <c r="Z494" t="s">
        <v>5803</v>
      </c>
      <c r="AA494" t="s">
        <v>5804</v>
      </c>
      <c r="AC494" t="s">
        <v>6301</v>
      </c>
      <c r="AD494" t="s">
        <v>7491</v>
      </c>
      <c r="AE494" t="s">
        <v>8303</v>
      </c>
      <c r="AF494">
        <v>24</v>
      </c>
      <c r="AG494" t="s">
        <v>9271</v>
      </c>
      <c r="AH494" t="s">
        <v>4280</v>
      </c>
      <c r="AI494">
        <v>43</v>
      </c>
      <c r="AJ494">
        <v>1</v>
      </c>
      <c r="AK494">
        <v>0</v>
      </c>
      <c r="AL494">
        <v>46.89</v>
      </c>
      <c r="AO494" t="s">
        <v>9298</v>
      </c>
      <c r="AP494">
        <v>5856</v>
      </c>
      <c r="AV494">
        <v>5.5</v>
      </c>
      <c r="AW494" t="s">
        <v>54</v>
      </c>
    </row>
    <row r="495" spans="1:49">
      <c r="A495" s="1">
        <f>HYPERLINK("https://cms.ls-nyc.org/matter/dynamic-profile/view/1900824","19-1900824")</f>
        <v>0</v>
      </c>
      <c r="B495" t="s">
        <v>62</v>
      </c>
      <c r="C495" t="s">
        <v>83</v>
      </c>
      <c r="D495" t="s">
        <v>166</v>
      </c>
      <c r="F495" t="s">
        <v>724</v>
      </c>
      <c r="G495" t="s">
        <v>1797</v>
      </c>
      <c r="H495" t="s">
        <v>2957</v>
      </c>
      <c r="J495" t="s">
        <v>4233</v>
      </c>
      <c r="K495">
        <v>11375</v>
      </c>
      <c r="L495" t="s">
        <v>4275</v>
      </c>
      <c r="M495" t="s">
        <v>4277</v>
      </c>
      <c r="N495" t="s">
        <v>4278</v>
      </c>
      <c r="O495" t="s">
        <v>4282</v>
      </c>
      <c r="P495" t="s">
        <v>4760</v>
      </c>
      <c r="Q495" t="s">
        <v>5731</v>
      </c>
      <c r="R495" t="s">
        <v>5751</v>
      </c>
      <c r="T495" t="s">
        <v>4276</v>
      </c>
      <c r="V495" t="s">
        <v>5767</v>
      </c>
      <c r="W495" t="s">
        <v>5772</v>
      </c>
      <c r="X495" t="s">
        <v>166</v>
      </c>
      <c r="Y495">
        <v>0</v>
      </c>
      <c r="Z495" t="s">
        <v>5803</v>
      </c>
      <c r="AA495" t="s">
        <v>5805</v>
      </c>
      <c r="AC495" t="s">
        <v>6302</v>
      </c>
      <c r="AE495" t="s">
        <v>8304</v>
      </c>
      <c r="AF495">
        <v>1</v>
      </c>
      <c r="AG495" t="s">
        <v>9272</v>
      </c>
      <c r="AH495" t="s">
        <v>9283</v>
      </c>
      <c r="AI495">
        <v>10</v>
      </c>
      <c r="AJ495">
        <v>1</v>
      </c>
      <c r="AK495">
        <v>2</v>
      </c>
      <c r="AL495">
        <v>65.04000000000001</v>
      </c>
      <c r="AO495" t="s">
        <v>1425</v>
      </c>
      <c r="AP495">
        <v>13872</v>
      </c>
      <c r="AV495">
        <v>5.78</v>
      </c>
      <c r="AW495" t="s">
        <v>54</v>
      </c>
    </row>
    <row r="496" spans="1:49">
      <c r="A496" s="1">
        <f>HYPERLINK("https://cms.ls-nyc.org/matter/dynamic-profile/view/1896042","19-1896042")</f>
        <v>0</v>
      </c>
      <c r="B496" t="s">
        <v>62</v>
      </c>
      <c r="C496" t="s">
        <v>83</v>
      </c>
      <c r="D496" t="s">
        <v>138</v>
      </c>
      <c r="F496" t="s">
        <v>725</v>
      </c>
      <c r="G496" t="s">
        <v>1798</v>
      </c>
      <c r="H496" t="s">
        <v>2958</v>
      </c>
      <c r="I496" t="s">
        <v>3850</v>
      </c>
      <c r="J496" t="s">
        <v>4234</v>
      </c>
      <c r="K496">
        <v>11106</v>
      </c>
      <c r="L496" t="s">
        <v>4275</v>
      </c>
      <c r="M496" t="s">
        <v>4275</v>
      </c>
      <c r="O496" t="s">
        <v>4282</v>
      </c>
      <c r="P496" t="s">
        <v>4761</v>
      </c>
      <c r="Q496" t="s">
        <v>5731</v>
      </c>
      <c r="R496" t="s">
        <v>5751</v>
      </c>
      <c r="T496" t="s">
        <v>4276</v>
      </c>
      <c r="V496" t="s">
        <v>5767</v>
      </c>
      <c r="W496" t="s">
        <v>5772</v>
      </c>
      <c r="X496" t="s">
        <v>138</v>
      </c>
      <c r="Y496">
        <v>1087</v>
      </c>
      <c r="Z496" t="s">
        <v>5803</v>
      </c>
      <c r="AA496" t="s">
        <v>5804</v>
      </c>
      <c r="AC496" t="s">
        <v>6303</v>
      </c>
      <c r="AE496" t="s">
        <v>8305</v>
      </c>
      <c r="AF496">
        <v>39</v>
      </c>
      <c r="AG496" t="s">
        <v>9272</v>
      </c>
      <c r="AH496" t="s">
        <v>4280</v>
      </c>
      <c r="AI496">
        <v>26</v>
      </c>
      <c r="AJ496">
        <v>6</v>
      </c>
      <c r="AK496">
        <v>4</v>
      </c>
      <c r="AL496">
        <v>71.68000000000001</v>
      </c>
      <c r="AO496" t="s">
        <v>9306</v>
      </c>
      <c r="AP496">
        <v>37468</v>
      </c>
      <c r="AV496">
        <v>11.45</v>
      </c>
      <c r="AW496" t="s">
        <v>74</v>
      </c>
    </row>
    <row r="497" spans="1:49">
      <c r="A497" s="1">
        <f>HYPERLINK("https://cms.ls-nyc.org/matter/dynamic-profile/view/1900812","19-1900812")</f>
        <v>0</v>
      </c>
      <c r="B497" t="s">
        <v>62</v>
      </c>
      <c r="C497" t="s">
        <v>83</v>
      </c>
      <c r="D497" t="s">
        <v>166</v>
      </c>
      <c r="F497" t="s">
        <v>468</v>
      </c>
      <c r="G497" t="s">
        <v>1799</v>
      </c>
      <c r="H497" t="s">
        <v>2959</v>
      </c>
      <c r="I497" t="s">
        <v>3861</v>
      </c>
      <c r="J497" t="s">
        <v>4227</v>
      </c>
      <c r="K497">
        <v>11365</v>
      </c>
      <c r="L497" t="s">
        <v>4275</v>
      </c>
      <c r="M497" t="s">
        <v>4277</v>
      </c>
      <c r="N497" t="s">
        <v>4278</v>
      </c>
      <c r="O497" t="s">
        <v>4282</v>
      </c>
      <c r="P497" t="s">
        <v>4762</v>
      </c>
      <c r="Q497" t="s">
        <v>5731</v>
      </c>
      <c r="R497" t="s">
        <v>5751</v>
      </c>
      <c r="T497" t="s">
        <v>4276</v>
      </c>
      <c r="V497" t="s">
        <v>5767</v>
      </c>
      <c r="X497" t="s">
        <v>166</v>
      </c>
      <c r="Y497">
        <v>1737</v>
      </c>
      <c r="Z497" t="s">
        <v>5803</v>
      </c>
      <c r="AA497" t="s">
        <v>5804</v>
      </c>
      <c r="AC497" t="s">
        <v>6304</v>
      </c>
      <c r="AE497" t="s">
        <v>8306</v>
      </c>
      <c r="AF497">
        <v>9</v>
      </c>
      <c r="AH497" t="s">
        <v>4280</v>
      </c>
      <c r="AI497">
        <v>7</v>
      </c>
      <c r="AJ497">
        <v>2</v>
      </c>
      <c r="AK497">
        <v>0</v>
      </c>
      <c r="AL497">
        <v>91.66</v>
      </c>
      <c r="AO497" t="s">
        <v>9298</v>
      </c>
      <c r="AP497">
        <v>15500</v>
      </c>
      <c r="AV497">
        <v>11.15</v>
      </c>
      <c r="AW497" t="s">
        <v>54</v>
      </c>
    </row>
    <row r="498" spans="1:49">
      <c r="A498" s="1">
        <f>HYPERLINK("https://cms.ls-nyc.org/matter/dynamic-profile/view/1899853","19-1899853")</f>
        <v>0</v>
      </c>
      <c r="B498" t="s">
        <v>62</v>
      </c>
      <c r="C498" t="s">
        <v>83</v>
      </c>
      <c r="D498" t="s">
        <v>95</v>
      </c>
      <c r="F498" t="s">
        <v>726</v>
      </c>
      <c r="G498" t="s">
        <v>1607</v>
      </c>
      <c r="H498" t="s">
        <v>2960</v>
      </c>
      <c r="J498" t="s">
        <v>4244</v>
      </c>
      <c r="K498">
        <v>11413</v>
      </c>
      <c r="L498" t="s">
        <v>4275</v>
      </c>
      <c r="M498" t="s">
        <v>4277</v>
      </c>
      <c r="N498" t="s">
        <v>4278</v>
      </c>
      <c r="O498" t="s">
        <v>4282</v>
      </c>
      <c r="P498" t="s">
        <v>4763</v>
      </c>
      <c r="Q498" t="s">
        <v>5732</v>
      </c>
      <c r="R498" t="s">
        <v>5753</v>
      </c>
      <c r="T498" t="s">
        <v>4276</v>
      </c>
      <c r="V498" t="s">
        <v>5767</v>
      </c>
      <c r="W498" t="s">
        <v>5772</v>
      </c>
      <c r="X498" t="s">
        <v>95</v>
      </c>
      <c r="Y498">
        <v>0</v>
      </c>
      <c r="Z498" t="s">
        <v>5803</v>
      </c>
      <c r="AA498" t="s">
        <v>5804</v>
      </c>
      <c r="AC498" t="s">
        <v>6305</v>
      </c>
      <c r="AE498" t="s">
        <v>8307</v>
      </c>
      <c r="AF498">
        <v>2</v>
      </c>
      <c r="AG498" t="s">
        <v>9270</v>
      </c>
      <c r="AH498" t="s">
        <v>4280</v>
      </c>
      <c r="AI498">
        <v>9</v>
      </c>
      <c r="AJ498">
        <v>1</v>
      </c>
      <c r="AK498">
        <v>2</v>
      </c>
      <c r="AL498">
        <v>101.27</v>
      </c>
      <c r="AO498" t="s">
        <v>1425</v>
      </c>
      <c r="AP498">
        <v>21600</v>
      </c>
      <c r="AV498">
        <v>1.7</v>
      </c>
      <c r="AW498" t="s">
        <v>54</v>
      </c>
    </row>
    <row r="499" spans="1:49">
      <c r="A499" s="1">
        <f>HYPERLINK("https://cms.ls-nyc.org/matter/dynamic-profile/view/1892930","19-1892930")</f>
        <v>0</v>
      </c>
      <c r="B499" t="s">
        <v>62</v>
      </c>
      <c r="C499" t="s">
        <v>83</v>
      </c>
      <c r="D499" t="s">
        <v>176</v>
      </c>
      <c r="F499" t="s">
        <v>543</v>
      </c>
      <c r="G499" t="s">
        <v>1800</v>
      </c>
      <c r="H499" t="s">
        <v>2961</v>
      </c>
      <c r="I499" t="s">
        <v>4014</v>
      </c>
      <c r="J499" t="s">
        <v>4240</v>
      </c>
      <c r="K499">
        <v>11373</v>
      </c>
      <c r="L499" t="s">
        <v>4275</v>
      </c>
      <c r="M499" t="s">
        <v>4275</v>
      </c>
      <c r="O499" t="s">
        <v>4281</v>
      </c>
      <c r="P499" t="s">
        <v>4764</v>
      </c>
      <c r="Q499" t="s">
        <v>5731</v>
      </c>
      <c r="R499" t="s">
        <v>5751</v>
      </c>
      <c r="T499" t="s">
        <v>4276</v>
      </c>
      <c r="V499" t="s">
        <v>5767</v>
      </c>
      <c r="W499" t="s">
        <v>5772</v>
      </c>
      <c r="X499" t="s">
        <v>176</v>
      </c>
      <c r="Y499">
        <v>1525</v>
      </c>
      <c r="Z499" t="s">
        <v>5803</v>
      </c>
      <c r="AA499" t="s">
        <v>5804</v>
      </c>
      <c r="AC499" t="s">
        <v>6306</v>
      </c>
      <c r="AD499" t="s">
        <v>7492</v>
      </c>
      <c r="AE499" t="s">
        <v>8308</v>
      </c>
      <c r="AF499">
        <v>75</v>
      </c>
      <c r="AG499" t="s">
        <v>9272</v>
      </c>
      <c r="AH499" t="s">
        <v>9287</v>
      </c>
      <c r="AI499">
        <v>12</v>
      </c>
      <c r="AJ499">
        <v>2</v>
      </c>
      <c r="AK499">
        <v>0</v>
      </c>
      <c r="AL499">
        <v>103.61</v>
      </c>
      <c r="AO499" t="s">
        <v>9298</v>
      </c>
      <c r="AP499">
        <v>17520</v>
      </c>
      <c r="AV499">
        <v>33.84</v>
      </c>
      <c r="AW499" t="s">
        <v>55</v>
      </c>
    </row>
    <row r="500" spans="1:49">
      <c r="A500" s="1">
        <f>HYPERLINK("https://cms.ls-nyc.org/matter/dynamic-profile/view/1900582","19-1900582")</f>
        <v>0</v>
      </c>
      <c r="B500" t="s">
        <v>62</v>
      </c>
      <c r="C500" t="s">
        <v>83</v>
      </c>
      <c r="D500" t="s">
        <v>87</v>
      </c>
      <c r="F500" t="s">
        <v>727</v>
      </c>
      <c r="G500" t="s">
        <v>1429</v>
      </c>
      <c r="H500" t="s">
        <v>2962</v>
      </c>
      <c r="I500">
        <v>2</v>
      </c>
      <c r="J500" t="s">
        <v>4253</v>
      </c>
      <c r="K500">
        <v>11422</v>
      </c>
      <c r="L500" t="s">
        <v>4275</v>
      </c>
      <c r="M500" t="s">
        <v>4277</v>
      </c>
      <c r="N500" t="s">
        <v>4278</v>
      </c>
      <c r="O500" t="s">
        <v>4282</v>
      </c>
      <c r="P500" t="s">
        <v>4765</v>
      </c>
      <c r="Q500" t="s">
        <v>5732</v>
      </c>
      <c r="R500" t="s">
        <v>5753</v>
      </c>
      <c r="T500" t="s">
        <v>4276</v>
      </c>
      <c r="V500" t="s">
        <v>5767</v>
      </c>
      <c r="W500" t="s">
        <v>5774</v>
      </c>
      <c r="X500" t="s">
        <v>87</v>
      </c>
      <c r="Y500">
        <v>1150</v>
      </c>
      <c r="Z500" t="s">
        <v>5803</v>
      </c>
      <c r="AA500" t="s">
        <v>5804</v>
      </c>
      <c r="AC500" t="s">
        <v>6307</v>
      </c>
      <c r="AD500" t="s">
        <v>7493</v>
      </c>
      <c r="AE500" t="s">
        <v>8309</v>
      </c>
      <c r="AF500">
        <v>2</v>
      </c>
      <c r="AG500" t="s">
        <v>9270</v>
      </c>
      <c r="AH500" t="s">
        <v>4280</v>
      </c>
      <c r="AI500">
        <v>5</v>
      </c>
      <c r="AJ500">
        <v>2</v>
      </c>
      <c r="AK500">
        <v>0</v>
      </c>
      <c r="AL500">
        <v>106.45</v>
      </c>
      <c r="AO500" t="s">
        <v>1425</v>
      </c>
      <c r="AP500">
        <v>18000</v>
      </c>
      <c r="AV500">
        <v>10.9</v>
      </c>
      <c r="AW500" t="s">
        <v>54</v>
      </c>
    </row>
    <row r="501" spans="1:49">
      <c r="A501" s="1">
        <f>HYPERLINK("https://cms.ls-nyc.org/matter/dynamic-profile/view/1889392","19-1889392")</f>
        <v>0</v>
      </c>
      <c r="B501" t="s">
        <v>62</v>
      </c>
      <c r="C501" t="s">
        <v>83</v>
      </c>
      <c r="D501" t="s">
        <v>119</v>
      </c>
      <c r="F501" t="s">
        <v>728</v>
      </c>
      <c r="G501" t="s">
        <v>1801</v>
      </c>
      <c r="H501" t="s">
        <v>2963</v>
      </c>
      <c r="I501" t="s">
        <v>4015</v>
      </c>
      <c r="J501" t="s">
        <v>4258</v>
      </c>
      <c r="K501">
        <v>11369</v>
      </c>
      <c r="L501" t="s">
        <v>4277</v>
      </c>
      <c r="M501" t="s">
        <v>4277</v>
      </c>
      <c r="O501" t="s">
        <v>4282</v>
      </c>
      <c r="P501" t="s">
        <v>4766</v>
      </c>
      <c r="Q501" t="s">
        <v>5731</v>
      </c>
      <c r="R501" t="s">
        <v>5751</v>
      </c>
      <c r="T501" t="s">
        <v>4276</v>
      </c>
      <c r="V501" t="s">
        <v>5767</v>
      </c>
      <c r="Y501">
        <v>1073</v>
      </c>
      <c r="Z501" t="s">
        <v>5803</v>
      </c>
      <c r="AA501" t="s">
        <v>5804</v>
      </c>
      <c r="AC501" t="s">
        <v>6308</v>
      </c>
      <c r="AE501" t="s">
        <v>8310</v>
      </c>
      <c r="AF501">
        <v>16</v>
      </c>
      <c r="AG501" t="s">
        <v>9268</v>
      </c>
      <c r="AH501" t="s">
        <v>9282</v>
      </c>
      <c r="AI501">
        <v>16</v>
      </c>
      <c r="AJ501">
        <v>2</v>
      </c>
      <c r="AK501">
        <v>0</v>
      </c>
      <c r="AL501">
        <v>107.63</v>
      </c>
      <c r="AO501" t="s">
        <v>9298</v>
      </c>
      <c r="AP501">
        <v>18200</v>
      </c>
      <c r="AV501">
        <v>54.68</v>
      </c>
      <c r="AW501" t="s">
        <v>74</v>
      </c>
    </row>
    <row r="502" spans="1:49">
      <c r="A502" s="1">
        <f>HYPERLINK("https://cms.ls-nyc.org/matter/dynamic-profile/view/1900466","19-1900466")</f>
        <v>0</v>
      </c>
      <c r="B502" t="s">
        <v>62</v>
      </c>
      <c r="C502" t="s">
        <v>83</v>
      </c>
      <c r="D502" t="s">
        <v>232</v>
      </c>
      <c r="F502" t="s">
        <v>729</v>
      </c>
      <c r="G502" t="s">
        <v>1802</v>
      </c>
      <c r="H502" t="s">
        <v>2964</v>
      </c>
      <c r="J502" t="s">
        <v>4222</v>
      </c>
      <c r="K502">
        <v>11434</v>
      </c>
      <c r="L502" t="s">
        <v>4277</v>
      </c>
      <c r="M502" t="s">
        <v>4277</v>
      </c>
      <c r="O502" t="s">
        <v>4281</v>
      </c>
      <c r="P502" t="s">
        <v>4767</v>
      </c>
      <c r="Q502" t="s">
        <v>5732</v>
      </c>
      <c r="R502" t="s">
        <v>5751</v>
      </c>
      <c r="T502" t="s">
        <v>4276</v>
      </c>
      <c r="V502" t="s">
        <v>5767</v>
      </c>
      <c r="W502" t="s">
        <v>5771</v>
      </c>
      <c r="Y502">
        <v>1850</v>
      </c>
      <c r="Z502" t="s">
        <v>5803</v>
      </c>
      <c r="AA502" t="s">
        <v>5805</v>
      </c>
      <c r="AC502" t="s">
        <v>6309</v>
      </c>
      <c r="AF502">
        <v>1</v>
      </c>
      <c r="AG502" t="s">
        <v>9269</v>
      </c>
      <c r="AH502" t="s">
        <v>4280</v>
      </c>
      <c r="AI502">
        <v>1</v>
      </c>
      <c r="AJ502">
        <v>4</v>
      </c>
      <c r="AK502">
        <v>0</v>
      </c>
      <c r="AL502">
        <v>139.81</v>
      </c>
      <c r="AP502">
        <v>36000</v>
      </c>
      <c r="AV502">
        <v>6.2</v>
      </c>
      <c r="AW502" t="s">
        <v>62</v>
      </c>
    </row>
    <row r="503" spans="1:49">
      <c r="A503" s="1">
        <f>HYPERLINK("https://cms.ls-nyc.org/matter/dynamic-profile/view/1896169","19-1896169")</f>
        <v>0</v>
      </c>
      <c r="B503" t="s">
        <v>62</v>
      </c>
      <c r="C503" t="s">
        <v>82</v>
      </c>
      <c r="D503" t="s">
        <v>132</v>
      </c>
      <c r="E503" t="s">
        <v>298</v>
      </c>
      <c r="F503" t="s">
        <v>730</v>
      </c>
      <c r="G503" t="s">
        <v>582</v>
      </c>
      <c r="H503" t="s">
        <v>2965</v>
      </c>
      <c r="I503">
        <v>1</v>
      </c>
      <c r="J503" t="s">
        <v>4222</v>
      </c>
      <c r="K503">
        <v>11433</v>
      </c>
      <c r="L503" t="s">
        <v>4275</v>
      </c>
      <c r="M503" t="s">
        <v>4275</v>
      </c>
      <c r="O503" t="s">
        <v>4281</v>
      </c>
      <c r="P503" t="s">
        <v>4768</v>
      </c>
      <c r="Q503" t="s">
        <v>5731</v>
      </c>
      <c r="R503" t="s">
        <v>5751</v>
      </c>
      <c r="S503" t="s">
        <v>5762</v>
      </c>
      <c r="T503" t="s">
        <v>4276</v>
      </c>
      <c r="V503" t="s">
        <v>5767</v>
      </c>
      <c r="X503" t="s">
        <v>132</v>
      </c>
      <c r="Y503">
        <v>1268</v>
      </c>
      <c r="Z503" t="s">
        <v>5803</v>
      </c>
      <c r="AA503" t="s">
        <v>5805</v>
      </c>
      <c r="AB503" t="s">
        <v>5820</v>
      </c>
      <c r="AC503" t="s">
        <v>6310</v>
      </c>
      <c r="AE503" t="s">
        <v>8311</v>
      </c>
      <c r="AF503">
        <v>2</v>
      </c>
      <c r="AG503" t="s">
        <v>9270</v>
      </c>
      <c r="AH503" t="s">
        <v>9288</v>
      </c>
      <c r="AI503">
        <v>1</v>
      </c>
      <c r="AJ503">
        <v>2</v>
      </c>
      <c r="AK503">
        <v>0</v>
      </c>
      <c r="AL503">
        <v>140.93</v>
      </c>
      <c r="AO503" t="s">
        <v>1425</v>
      </c>
      <c r="AP503">
        <v>23832</v>
      </c>
      <c r="AS503" t="s">
        <v>9336</v>
      </c>
      <c r="AT503" t="s">
        <v>9369</v>
      </c>
      <c r="AU503" t="s">
        <v>9466</v>
      </c>
      <c r="AV503">
        <v>8.6</v>
      </c>
      <c r="AW503" t="s">
        <v>54</v>
      </c>
    </row>
    <row r="504" spans="1:49">
      <c r="A504" s="1">
        <f>HYPERLINK("https://cms.ls-nyc.org/matter/dynamic-profile/view/1900557","19-1900557")</f>
        <v>0</v>
      </c>
      <c r="B504" t="s">
        <v>62</v>
      </c>
      <c r="C504" t="s">
        <v>83</v>
      </c>
      <c r="D504" t="s">
        <v>87</v>
      </c>
      <c r="F504" t="s">
        <v>731</v>
      </c>
      <c r="G504" t="s">
        <v>1803</v>
      </c>
      <c r="H504" t="s">
        <v>2966</v>
      </c>
      <c r="I504" t="s">
        <v>3870</v>
      </c>
      <c r="J504" t="s">
        <v>4235</v>
      </c>
      <c r="K504">
        <v>11421</v>
      </c>
      <c r="L504" t="s">
        <v>4275</v>
      </c>
      <c r="M504" t="s">
        <v>4277</v>
      </c>
      <c r="N504" t="s">
        <v>4278</v>
      </c>
      <c r="O504" t="s">
        <v>4282</v>
      </c>
      <c r="P504" t="s">
        <v>4769</v>
      </c>
      <c r="Q504" t="s">
        <v>5731</v>
      </c>
      <c r="R504" t="s">
        <v>5753</v>
      </c>
      <c r="T504" t="s">
        <v>4276</v>
      </c>
      <c r="V504" t="s">
        <v>5767</v>
      </c>
      <c r="W504" t="s">
        <v>5772</v>
      </c>
      <c r="X504" t="s">
        <v>87</v>
      </c>
      <c r="Y504">
        <v>1698</v>
      </c>
      <c r="Z504" t="s">
        <v>5803</v>
      </c>
      <c r="AA504" t="s">
        <v>5804</v>
      </c>
      <c r="AC504" t="s">
        <v>6311</v>
      </c>
      <c r="AE504" t="s">
        <v>8312</v>
      </c>
      <c r="AF504">
        <v>3</v>
      </c>
      <c r="AG504" t="s">
        <v>9270</v>
      </c>
      <c r="AH504" t="s">
        <v>9282</v>
      </c>
      <c r="AI504">
        <v>1</v>
      </c>
      <c r="AJ504">
        <v>1</v>
      </c>
      <c r="AK504">
        <v>2</v>
      </c>
      <c r="AL504">
        <v>173.46</v>
      </c>
      <c r="AO504" t="s">
        <v>1425</v>
      </c>
      <c r="AP504">
        <v>37000</v>
      </c>
      <c r="AV504">
        <v>1.3</v>
      </c>
      <c r="AW504" t="s">
        <v>54</v>
      </c>
    </row>
    <row r="505" spans="1:49">
      <c r="A505" s="1">
        <f>HYPERLINK("https://cms.ls-nyc.org/matter/dynamic-profile/view/1900431","19-1900431")</f>
        <v>0</v>
      </c>
      <c r="B505" t="s">
        <v>63</v>
      </c>
      <c r="C505" t="s">
        <v>83</v>
      </c>
      <c r="D505" t="s">
        <v>232</v>
      </c>
      <c r="F505" t="s">
        <v>732</v>
      </c>
      <c r="G505" t="s">
        <v>1804</v>
      </c>
      <c r="H505" t="s">
        <v>2967</v>
      </c>
      <c r="I505" t="s">
        <v>3942</v>
      </c>
      <c r="J505" t="s">
        <v>4222</v>
      </c>
      <c r="K505">
        <v>11432</v>
      </c>
      <c r="L505" t="s">
        <v>4275</v>
      </c>
      <c r="M505" t="s">
        <v>4277</v>
      </c>
      <c r="N505" t="s">
        <v>4278</v>
      </c>
      <c r="O505" t="s">
        <v>4282</v>
      </c>
      <c r="P505" t="s">
        <v>4770</v>
      </c>
      <c r="Q505" t="s">
        <v>5732</v>
      </c>
      <c r="R505" t="s">
        <v>5753</v>
      </c>
      <c r="T505" t="s">
        <v>4276</v>
      </c>
      <c r="V505" t="s">
        <v>5767</v>
      </c>
      <c r="W505" t="s">
        <v>5772</v>
      </c>
      <c r="X505" t="s">
        <v>232</v>
      </c>
      <c r="Y505">
        <v>2200</v>
      </c>
      <c r="Z505" t="s">
        <v>5803</v>
      </c>
      <c r="AA505" t="s">
        <v>5808</v>
      </c>
      <c r="AC505" t="s">
        <v>6312</v>
      </c>
      <c r="AE505" t="s">
        <v>8313</v>
      </c>
      <c r="AF505">
        <v>20</v>
      </c>
      <c r="AG505" t="s">
        <v>9270</v>
      </c>
      <c r="AH505" t="s">
        <v>4280</v>
      </c>
      <c r="AI505">
        <v>3</v>
      </c>
      <c r="AJ505">
        <v>1</v>
      </c>
      <c r="AK505">
        <v>2</v>
      </c>
      <c r="AL505">
        <v>0</v>
      </c>
      <c r="AO505" t="s">
        <v>1425</v>
      </c>
      <c r="AP505">
        <v>0</v>
      </c>
      <c r="AV505">
        <v>1.4</v>
      </c>
      <c r="AW505" t="s">
        <v>54</v>
      </c>
    </row>
    <row r="506" spans="1:49">
      <c r="A506" s="1">
        <f>HYPERLINK("https://cms.ls-nyc.org/matter/dynamic-profile/view/1900410","19-1900410")</f>
        <v>0</v>
      </c>
      <c r="B506" t="s">
        <v>63</v>
      </c>
      <c r="C506" t="s">
        <v>83</v>
      </c>
      <c r="D506" t="s">
        <v>232</v>
      </c>
      <c r="F506" t="s">
        <v>733</v>
      </c>
      <c r="G506" t="s">
        <v>1805</v>
      </c>
      <c r="H506" t="s">
        <v>2968</v>
      </c>
      <c r="I506" t="s">
        <v>3867</v>
      </c>
      <c r="J506" t="s">
        <v>4253</v>
      </c>
      <c r="K506">
        <v>11422</v>
      </c>
      <c r="L506" t="s">
        <v>4275</v>
      </c>
      <c r="M506" t="s">
        <v>4277</v>
      </c>
      <c r="N506" t="s">
        <v>4278</v>
      </c>
      <c r="O506" t="s">
        <v>4282</v>
      </c>
      <c r="P506" t="s">
        <v>4771</v>
      </c>
      <c r="Q506" t="s">
        <v>5732</v>
      </c>
      <c r="R506" t="s">
        <v>5753</v>
      </c>
      <c r="T506" t="s">
        <v>4276</v>
      </c>
      <c r="V506" t="s">
        <v>5767</v>
      </c>
      <c r="W506" t="s">
        <v>5772</v>
      </c>
      <c r="X506" t="s">
        <v>232</v>
      </c>
      <c r="Y506">
        <v>1750</v>
      </c>
      <c r="Z506" t="s">
        <v>5803</v>
      </c>
      <c r="AA506" t="s">
        <v>5808</v>
      </c>
      <c r="AC506" t="s">
        <v>6313</v>
      </c>
      <c r="AE506" t="s">
        <v>8314</v>
      </c>
      <c r="AF506">
        <v>2</v>
      </c>
      <c r="AG506" t="s">
        <v>9270</v>
      </c>
      <c r="AH506" t="s">
        <v>4280</v>
      </c>
      <c r="AI506">
        <v>11</v>
      </c>
      <c r="AJ506">
        <v>2</v>
      </c>
      <c r="AK506">
        <v>4</v>
      </c>
      <c r="AL506">
        <v>0</v>
      </c>
      <c r="AO506" t="s">
        <v>1425</v>
      </c>
      <c r="AP506">
        <v>0</v>
      </c>
      <c r="AV506">
        <v>1.3</v>
      </c>
      <c r="AW506" t="s">
        <v>54</v>
      </c>
    </row>
    <row r="507" spans="1:49">
      <c r="A507" s="1">
        <f>HYPERLINK("https://cms.ls-nyc.org/matter/dynamic-profile/view/1900065","19-1900065")</f>
        <v>0</v>
      </c>
      <c r="B507" t="s">
        <v>63</v>
      </c>
      <c r="C507" t="s">
        <v>83</v>
      </c>
      <c r="D507" t="s">
        <v>99</v>
      </c>
      <c r="F507" t="s">
        <v>734</v>
      </c>
      <c r="G507" t="s">
        <v>1736</v>
      </c>
      <c r="H507" t="s">
        <v>2969</v>
      </c>
      <c r="I507" t="s">
        <v>4016</v>
      </c>
      <c r="J507" t="s">
        <v>4255</v>
      </c>
      <c r="K507">
        <v>11372</v>
      </c>
      <c r="L507" t="s">
        <v>4275</v>
      </c>
      <c r="M507" t="s">
        <v>4277</v>
      </c>
      <c r="O507" t="s">
        <v>4283</v>
      </c>
      <c r="P507" t="s">
        <v>4772</v>
      </c>
      <c r="Q507" t="s">
        <v>5731</v>
      </c>
      <c r="R507" t="s">
        <v>5751</v>
      </c>
      <c r="T507" t="s">
        <v>4276</v>
      </c>
      <c r="V507" t="s">
        <v>5767</v>
      </c>
      <c r="X507" t="s">
        <v>99</v>
      </c>
      <c r="Y507">
        <v>750</v>
      </c>
      <c r="Z507" t="s">
        <v>5803</v>
      </c>
      <c r="AA507" t="s">
        <v>5807</v>
      </c>
      <c r="AC507" t="s">
        <v>6314</v>
      </c>
      <c r="AE507" t="s">
        <v>8315</v>
      </c>
      <c r="AF507">
        <v>0</v>
      </c>
      <c r="AI507">
        <v>46</v>
      </c>
      <c r="AJ507">
        <v>1</v>
      </c>
      <c r="AK507">
        <v>0</v>
      </c>
      <c r="AL507">
        <v>0</v>
      </c>
      <c r="AP507">
        <v>0</v>
      </c>
      <c r="AV507">
        <v>13.45</v>
      </c>
      <c r="AW507" t="s">
        <v>63</v>
      </c>
    </row>
    <row r="508" spans="1:49">
      <c r="A508" s="1">
        <f>HYPERLINK("https://cms.ls-nyc.org/matter/dynamic-profile/view/1895483","19-1895483")</f>
        <v>0</v>
      </c>
      <c r="B508" t="s">
        <v>63</v>
      </c>
      <c r="C508" t="s">
        <v>83</v>
      </c>
      <c r="D508" t="s">
        <v>214</v>
      </c>
      <c r="F508" t="s">
        <v>735</v>
      </c>
      <c r="G508" t="s">
        <v>1806</v>
      </c>
      <c r="H508" t="s">
        <v>2970</v>
      </c>
      <c r="I508" t="s">
        <v>3908</v>
      </c>
      <c r="J508" t="s">
        <v>4229</v>
      </c>
      <c r="K508">
        <v>11354</v>
      </c>
      <c r="L508" t="s">
        <v>4277</v>
      </c>
      <c r="M508" t="s">
        <v>4277</v>
      </c>
      <c r="O508" t="s">
        <v>4283</v>
      </c>
      <c r="P508" t="s">
        <v>4773</v>
      </c>
      <c r="Q508" t="s">
        <v>5731</v>
      </c>
      <c r="R508" t="s">
        <v>5751</v>
      </c>
      <c r="T508" t="s">
        <v>4276</v>
      </c>
      <c r="V508" t="s">
        <v>5767</v>
      </c>
      <c r="Y508">
        <v>1439</v>
      </c>
      <c r="Z508" t="s">
        <v>5803</v>
      </c>
      <c r="AA508" t="s">
        <v>5806</v>
      </c>
      <c r="AC508" t="s">
        <v>6315</v>
      </c>
      <c r="AE508" t="s">
        <v>8316</v>
      </c>
      <c r="AF508">
        <v>0</v>
      </c>
      <c r="AG508" t="s">
        <v>9272</v>
      </c>
      <c r="AH508" t="s">
        <v>4280</v>
      </c>
      <c r="AI508">
        <v>25</v>
      </c>
      <c r="AJ508">
        <v>2</v>
      </c>
      <c r="AK508">
        <v>1</v>
      </c>
      <c r="AL508">
        <v>0</v>
      </c>
      <c r="AO508" t="s">
        <v>1425</v>
      </c>
      <c r="AP508">
        <v>0</v>
      </c>
      <c r="AV508">
        <v>10.76</v>
      </c>
      <c r="AW508" t="s">
        <v>9550</v>
      </c>
    </row>
    <row r="509" spans="1:49">
      <c r="A509" s="1">
        <f>HYPERLINK("https://cms.ls-nyc.org/matter/dynamic-profile/view/1899984","19-1899984")</f>
        <v>0</v>
      </c>
      <c r="B509" t="s">
        <v>63</v>
      </c>
      <c r="C509" t="s">
        <v>83</v>
      </c>
      <c r="D509" t="s">
        <v>99</v>
      </c>
      <c r="F509" t="s">
        <v>736</v>
      </c>
      <c r="G509" t="s">
        <v>1462</v>
      </c>
      <c r="H509" t="s">
        <v>2971</v>
      </c>
      <c r="I509" t="s">
        <v>3978</v>
      </c>
      <c r="J509" t="s">
        <v>4225</v>
      </c>
      <c r="K509">
        <v>11385</v>
      </c>
      <c r="L509" t="s">
        <v>4275</v>
      </c>
      <c r="M509" t="s">
        <v>4277</v>
      </c>
      <c r="N509" t="s">
        <v>4279</v>
      </c>
      <c r="O509" t="s">
        <v>4281</v>
      </c>
      <c r="P509" t="s">
        <v>4774</v>
      </c>
      <c r="Q509" t="s">
        <v>5732</v>
      </c>
      <c r="R509" t="s">
        <v>5751</v>
      </c>
      <c r="T509" t="s">
        <v>4276</v>
      </c>
      <c r="V509" t="s">
        <v>5767</v>
      </c>
      <c r="W509" t="s">
        <v>5772</v>
      </c>
      <c r="X509" t="s">
        <v>99</v>
      </c>
      <c r="Y509">
        <v>1212.53</v>
      </c>
      <c r="Z509" t="s">
        <v>5803</v>
      </c>
      <c r="AA509" t="s">
        <v>5804</v>
      </c>
      <c r="AC509" t="s">
        <v>6316</v>
      </c>
      <c r="AD509" t="s">
        <v>7494</v>
      </c>
      <c r="AE509" t="s">
        <v>8317</v>
      </c>
      <c r="AF509">
        <v>4</v>
      </c>
      <c r="AG509" t="s">
        <v>9270</v>
      </c>
      <c r="AH509" t="s">
        <v>9285</v>
      </c>
      <c r="AI509">
        <v>16</v>
      </c>
      <c r="AJ509">
        <v>1</v>
      </c>
      <c r="AK509">
        <v>0</v>
      </c>
      <c r="AL509">
        <v>82.34</v>
      </c>
      <c r="AO509" t="s">
        <v>1425</v>
      </c>
      <c r="AP509">
        <v>10284</v>
      </c>
      <c r="AV509">
        <v>2.55</v>
      </c>
      <c r="AW509" t="s">
        <v>54</v>
      </c>
    </row>
    <row r="510" spans="1:49">
      <c r="A510" s="1">
        <f>HYPERLINK("https://cms.ls-nyc.org/matter/dynamic-profile/view/1897193","19-1897193")</f>
        <v>0</v>
      </c>
      <c r="B510" t="s">
        <v>63</v>
      </c>
      <c r="C510" t="s">
        <v>83</v>
      </c>
      <c r="D510" t="s">
        <v>110</v>
      </c>
      <c r="F510" t="s">
        <v>737</v>
      </c>
      <c r="G510" t="s">
        <v>1704</v>
      </c>
      <c r="H510" t="s">
        <v>2972</v>
      </c>
      <c r="I510" t="s">
        <v>4017</v>
      </c>
      <c r="J510" t="s">
        <v>4229</v>
      </c>
      <c r="K510">
        <v>11354</v>
      </c>
      <c r="L510" t="s">
        <v>4275</v>
      </c>
      <c r="M510" t="s">
        <v>4275</v>
      </c>
      <c r="O510" t="s">
        <v>4283</v>
      </c>
      <c r="P510" t="s">
        <v>4775</v>
      </c>
      <c r="Q510" t="s">
        <v>5731</v>
      </c>
      <c r="R510" t="s">
        <v>5751</v>
      </c>
      <c r="T510" t="s">
        <v>4276</v>
      </c>
      <c r="V510" t="s">
        <v>5767</v>
      </c>
      <c r="X510" t="s">
        <v>110</v>
      </c>
      <c r="Y510">
        <v>1525</v>
      </c>
      <c r="Z510" t="s">
        <v>5803</v>
      </c>
      <c r="AA510" t="s">
        <v>5804</v>
      </c>
      <c r="AC510" t="s">
        <v>6317</v>
      </c>
      <c r="AE510" t="s">
        <v>8318</v>
      </c>
      <c r="AF510">
        <v>12</v>
      </c>
      <c r="AG510" t="s">
        <v>9270</v>
      </c>
      <c r="AH510" t="s">
        <v>4280</v>
      </c>
      <c r="AI510">
        <v>2</v>
      </c>
      <c r="AJ510">
        <v>2</v>
      </c>
      <c r="AK510">
        <v>1</v>
      </c>
      <c r="AL510">
        <v>97.52</v>
      </c>
      <c r="AO510" t="s">
        <v>9301</v>
      </c>
      <c r="AP510">
        <v>20800</v>
      </c>
      <c r="AV510">
        <v>27.27</v>
      </c>
      <c r="AW510" t="s">
        <v>54</v>
      </c>
    </row>
    <row r="511" spans="1:49">
      <c r="A511" s="1">
        <f>HYPERLINK("https://cms.ls-nyc.org/matter/dynamic-profile/view/1898681","19-1898681")</f>
        <v>0</v>
      </c>
      <c r="B511" t="s">
        <v>63</v>
      </c>
      <c r="C511" t="s">
        <v>83</v>
      </c>
      <c r="D511" t="s">
        <v>93</v>
      </c>
      <c r="F511" t="s">
        <v>738</v>
      </c>
      <c r="G511" t="s">
        <v>1807</v>
      </c>
      <c r="H511" t="s">
        <v>2973</v>
      </c>
      <c r="I511" t="s">
        <v>3908</v>
      </c>
      <c r="J511" t="s">
        <v>4222</v>
      </c>
      <c r="K511">
        <v>11432</v>
      </c>
      <c r="L511" t="s">
        <v>4275</v>
      </c>
      <c r="M511" t="s">
        <v>4275</v>
      </c>
      <c r="N511" t="s">
        <v>4278</v>
      </c>
      <c r="O511" t="s">
        <v>4283</v>
      </c>
      <c r="P511" t="s">
        <v>4776</v>
      </c>
      <c r="Q511" t="s">
        <v>5731</v>
      </c>
      <c r="R511" t="s">
        <v>5751</v>
      </c>
      <c r="T511" t="s">
        <v>4276</v>
      </c>
      <c r="V511" t="s">
        <v>5767</v>
      </c>
      <c r="X511" t="s">
        <v>93</v>
      </c>
      <c r="Y511">
        <v>1486</v>
      </c>
      <c r="Z511" t="s">
        <v>5803</v>
      </c>
      <c r="AA511" t="s">
        <v>5804</v>
      </c>
      <c r="AC511" t="s">
        <v>6318</v>
      </c>
      <c r="AE511" t="s">
        <v>8319</v>
      </c>
      <c r="AF511">
        <v>7</v>
      </c>
      <c r="AH511" t="s">
        <v>4280</v>
      </c>
      <c r="AI511">
        <v>6</v>
      </c>
      <c r="AJ511">
        <v>1</v>
      </c>
      <c r="AK511">
        <v>3</v>
      </c>
      <c r="AL511">
        <v>107.18</v>
      </c>
      <c r="AO511" t="s">
        <v>1425</v>
      </c>
      <c r="AP511">
        <v>27600</v>
      </c>
      <c r="AV511">
        <v>1.45</v>
      </c>
      <c r="AW511" t="s">
        <v>54</v>
      </c>
    </row>
    <row r="512" spans="1:49">
      <c r="A512" s="1">
        <f>HYPERLINK("https://cms.ls-nyc.org/matter/dynamic-profile/view/1899283","19-1899283")</f>
        <v>0</v>
      </c>
      <c r="B512" t="s">
        <v>63</v>
      </c>
      <c r="C512" t="s">
        <v>82</v>
      </c>
      <c r="D512" t="s">
        <v>161</v>
      </c>
      <c r="E512" t="s">
        <v>124</v>
      </c>
      <c r="F512" t="s">
        <v>739</v>
      </c>
      <c r="G512" t="s">
        <v>1808</v>
      </c>
      <c r="J512" t="s">
        <v>4224</v>
      </c>
      <c r="K512">
        <v>11419</v>
      </c>
      <c r="L512" t="s">
        <v>4275</v>
      </c>
      <c r="M512" t="s">
        <v>4277</v>
      </c>
      <c r="N512" t="s">
        <v>4278</v>
      </c>
      <c r="O512" t="s">
        <v>4282</v>
      </c>
      <c r="P512" t="s">
        <v>4777</v>
      </c>
      <c r="Q512" t="s">
        <v>5731</v>
      </c>
      <c r="R512" t="s">
        <v>5753</v>
      </c>
      <c r="S512" t="s">
        <v>5759</v>
      </c>
      <c r="T512" t="s">
        <v>4276</v>
      </c>
      <c r="V512" t="s">
        <v>5767</v>
      </c>
      <c r="W512" t="s">
        <v>5772</v>
      </c>
      <c r="X512" t="s">
        <v>161</v>
      </c>
      <c r="Y512">
        <v>1600</v>
      </c>
      <c r="Z512" t="s">
        <v>5803</v>
      </c>
      <c r="AA512" t="s">
        <v>5804</v>
      </c>
      <c r="AB512" t="s">
        <v>5821</v>
      </c>
      <c r="AC512" t="s">
        <v>6319</v>
      </c>
      <c r="AE512" t="s">
        <v>8320</v>
      </c>
      <c r="AF512">
        <v>10</v>
      </c>
      <c r="AG512" t="s">
        <v>9272</v>
      </c>
      <c r="AH512" t="s">
        <v>4280</v>
      </c>
      <c r="AI512">
        <v>1</v>
      </c>
      <c r="AJ512">
        <v>2</v>
      </c>
      <c r="AK512">
        <v>0</v>
      </c>
      <c r="AL512">
        <v>107.63</v>
      </c>
      <c r="AP512">
        <v>18200</v>
      </c>
      <c r="AV512">
        <v>1.8</v>
      </c>
      <c r="AW512" t="s">
        <v>74</v>
      </c>
    </row>
    <row r="513" spans="1:49">
      <c r="A513" s="1">
        <f>HYPERLINK("https://cms.ls-nyc.org/matter/dynamic-profile/view/1897336","19-1897336")</f>
        <v>0</v>
      </c>
      <c r="B513" t="s">
        <v>63</v>
      </c>
      <c r="C513" t="s">
        <v>83</v>
      </c>
      <c r="D513" t="s">
        <v>106</v>
      </c>
      <c r="F513" t="s">
        <v>468</v>
      </c>
      <c r="G513" t="s">
        <v>1809</v>
      </c>
      <c r="H513" t="s">
        <v>2974</v>
      </c>
      <c r="I513" t="s">
        <v>3858</v>
      </c>
      <c r="J513" t="s">
        <v>4230</v>
      </c>
      <c r="K513">
        <v>11101</v>
      </c>
      <c r="L513" t="s">
        <v>4275</v>
      </c>
      <c r="M513" t="s">
        <v>4275</v>
      </c>
      <c r="O513" t="s">
        <v>4283</v>
      </c>
      <c r="P513" t="s">
        <v>4778</v>
      </c>
      <c r="Q513" t="s">
        <v>5732</v>
      </c>
      <c r="R513" t="s">
        <v>5751</v>
      </c>
      <c r="T513" t="s">
        <v>4276</v>
      </c>
      <c r="V513" t="s">
        <v>5767</v>
      </c>
      <c r="X513" t="s">
        <v>106</v>
      </c>
      <c r="Y513">
        <v>1311</v>
      </c>
      <c r="Z513" t="s">
        <v>5803</v>
      </c>
      <c r="AA513" t="s">
        <v>5804</v>
      </c>
      <c r="AC513" t="s">
        <v>6320</v>
      </c>
      <c r="AE513" t="s">
        <v>8321</v>
      </c>
      <c r="AF513">
        <v>0</v>
      </c>
      <c r="AG513" t="s">
        <v>9272</v>
      </c>
      <c r="AH513" t="s">
        <v>4280</v>
      </c>
      <c r="AI513">
        <v>21</v>
      </c>
      <c r="AJ513">
        <v>2</v>
      </c>
      <c r="AK513">
        <v>1</v>
      </c>
      <c r="AL513">
        <v>117.21</v>
      </c>
      <c r="AO513" t="s">
        <v>1425</v>
      </c>
      <c r="AP513">
        <v>25000</v>
      </c>
      <c r="AV513">
        <v>6.85</v>
      </c>
      <c r="AW513" t="s">
        <v>54</v>
      </c>
    </row>
    <row r="514" spans="1:49">
      <c r="A514" s="1">
        <f>HYPERLINK("https://cms.ls-nyc.org/matter/dynamic-profile/view/1891669","19-1891669")</f>
        <v>0</v>
      </c>
      <c r="B514" t="s">
        <v>63</v>
      </c>
      <c r="C514" t="s">
        <v>83</v>
      </c>
      <c r="D514" t="s">
        <v>233</v>
      </c>
      <c r="F514" t="s">
        <v>740</v>
      </c>
      <c r="G514" t="s">
        <v>1450</v>
      </c>
      <c r="H514" t="s">
        <v>2975</v>
      </c>
      <c r="I514">
        <v>1</v>
      </c>
      <c r="J514" t="s">
        <v>4243</v>
      </c>
      <c r="K514">
        <v>11691</v>
      </c>
      <c r="L514" t="s">
        <v>4277</v>
      </c>
      <c r="M514" t="s">
        <v>4277</v>
      </c>
      <c r="O514" t="s">
        <v>4283</v>
      </c>
      <c r="Q514" t="s">
        <v>5732</v>
      </c>
      <c r="R514" t="s">
        <v>5751</v>
      </c>
      <c r="T514" t="s">
        <v>4276</v>
      </c>
      <c r="V514" t="s">
        <v>5767</v>
      </c>
      <c r="Y514">
        <v>1475</v>
      </c>
      <c r="Z514" t="s">
        <v>5803</v>
      </c>
      <c r="AC514" t="s">
        <v>6321</v>
      </c>
      <c r="AE514" t="s">
        <v>8322</v>
      </c>
      <c r="AF514">
        <v>0</v>
      </c>
      <c r="AG514" t="s">
        <v>9272</v>
      </c>
      <c r="AH514" t="s">
        <v>9282</v>
      </c>
      <c r="AI514">
        <v>9</v>
      </c>
      <c r="AJ514">
        <v>1</v>
      </c>
      <c r="AK514">
        <v>0</v>
      </c>
      <c r="AL514">
        <v>199.84</v>
      </c>
      <c r="AO514" t="s">
        <v>1425</v>
      </c>
      <c r="AP514">
        <v>24960</v>
      </c>
      <c r="AV514">
        <v>2.5</v>
      </c>
      <c r="AW514" t="s">
        <v>9551</v>
      </c>
    </row>
    <row r="515" spans="1:49">
      <c r="A515" s="1">
        <f>HYPERLINK("https://cms.ls-nyc.org/matter/dynamic-profile/view/1896083","19-1896083")</f>
        <v>0</v>
      </c>
      <c r="B515" t="s">
        <v>63</v>
      </c>
      <c r="C515" t="s">
        <v>83</v>
      </c>
      <c r="D515" t="s">
        <v>138</v>
      </c>
      <c r="F515" t="s">
        <v>741</v>
      </c>
      <c r="G515" t="s">
        <v>1587</v>
      </c>
      <c r="H515" t="s">
        <v>2976</v>
      </c>
      <c r="I515" t="s">
        <v>4018</v>
      </c>
      <c r="J515" t="s">
        <v>4229</v>
      </c>
      <c r="K515">
        <v>11354</v>
      </c>
      <c r="L515" t="s">
        <v>4277</v>
      </c>
      <c r="M515" t="s">
        <v>4277</v>
      </c>
      <c r="O515" t="s">
        <v>4283</v>
      </c>
      <c r="P515" t="s">
        <v>4779</v>
      </c>
      <c r="Q515" t="s">
        <v>5732</v>
      </c>
      <c r="R515" t="s">
        <v>5751</v>
      </c>
      <c r="V515" t="s">
        <v>5767</v>
      </c>
      <c r="Y515">
        <v>774</v>
      </c>
      <c r="Z515" t="s">
        <v>5803</v>
      </c>
      <c r="AC515" t="s">
        <v>6322</v>
      </c>
      <c r="AE515" t="s">
        <v>8323</v>
      </c>
      <c r="AF515">
        <v>0</v>
      </c>
      <c r="AG515" t="s">
        <v>9272</v>
      </c>
      <c r="AH515" t="s">
        <v>4280</v>
      </c>
      <c r="AI515">
        <v>39</v>
      </c>
      <c r="AJ515">
        <v>2</v>
      </c>
      <c r="AK515">
        <v>0</v>
      </c>
      <c r="AL515">
        <v>276.76</v>
      </c>
      <c r="AO515" t="s">
        <v>1425</v>
      </c>
      <c r="AP515">
        <v>46800</v>
      </c>
      <c r="AV515">
        <v>1.65</v>
      </c>
      <c r="AW515" t="s">
        <v>9552</v>
      </c>
    </row>
    <row r="516" spans="1:49">
      <c r="A516" s="1">
        <f>HYPERLINK("https://cms.ls-nyc.org/matter/dynamic-profile/view/1898503","19-1898503")</f>
        <v>0</v>
      </c>
      <c r="B516" t="s">
        <v>63</v>
      </c>
      <c r="C516" t="s">
        <v>83</v>
      </c>
      <c r="D516" t="s">
        <v>141</v>
      </c>
      <c r="F516" t="s">
        <v>344</v>
      </c>
      <c r="G516" t="s">
        <v>1810</v>
      </c>
      <c r="H516" t="s">
        <v>2977</v>
      </c>
      <c r="I516" t="s">
        <v>3902</v>
      </c>
      <c r="J516" t="s">
        <v>4230</v>
      </c>
      <c r="K516">
        <v>11101</v>
      </c>
      <c r="L516" t="s">
        <v>4275</v>
      </c>
      <c r="M516" t="s">
        <v>4275</v>
      </c>
      <c r="O516" t="s">
        <v>4283</v>
      </c>
      <c r="P516" t="s">
        <v>4780</v>
      </c>
      <c r="Q516" t="s">
        <v>5731</v>
      </c>
      <c r="R516" t="s">
        <v>5751</v>
      </c>
      <c r="T516" t="s">
        <v>4276</v>
      </c>
      <c r="V516" t="s">
        <v>5767</v>
      </c>
      <c r="W516" t="s">
        <v>5772</v>
      </c>
      <c r="X516" t="s">
        <v>141</v>
      </c>
      <c r="Y516">
        <v>2400</v>
      </c>
      <c r="Z516" t="s">
        <v>5803</v>
      </c>
      <c r="AA516" t="s">
        <v>5811</v>
      </c>
      <c r="AC516" t="s">
        <v>6323</v>
      </c>
      <c r="AE516" t="s">
        <v>8324</v>
      </c>
      <c r="AF516">
        <v>6</v>
      </c>
      <c r="AG516" t="s">
        <v>9270</v>
      </c>
      <c r="AH516" t="s">
        <v>4280</v>
      </c>
      <c r="AI516">
        <v>3</v>
      </c>
      <c r="AJ516">
        <v>2</v>
      </c>
      <c r="AK516">
        <v>0</v>
      </c>
      <c r="AL516">
        <v>378.47</v>
      </c>
      <c r="AM516" t="s">
        <v>97</v>
      </c>
      <c r="AN516" t="s">
        <v>9293</v>
      </c>
      <c r="AO516" t="s">
        <v>1425</v>
      </c>
      <c r="AP516">
        <v>64000</v>
      </c>
      <c r="AV516">
        <v>4.35</v>
      </c>
      <c r="AW516" t="s">
        <v>52</v>
      </c>
    </row>
    <row r="517" spans="1:49">
      <c r="A517" s="1">
        <f>HYPERLINK("https://cms.ls-nyc.org/matter/dynamic-profile/view/1900472","19-1900472")</f>
        <v>0</v>
      </c>
      <c r="B517" t="s">
        <v>63</v>
      </c>
      <c r="C517" t="s">
        <v>83</v>
      </c>
      <c r="D517" t="s">
        <v>232</v>
      </c>
      <c r="F517" t="s">
        <v>742</v>
      </c>
      <c r="G517" t="s">
        <v>1811</v>
      </c>
      <c r="H517" t="s">
        <v>2978</v>
      </c>
      <c r="I517" t="s">
        <v>4019</v>
      </c>
      <c r="J517" t="s">
        <v>4251</v>
      </c>
      <c r="K517">
        <v>11377</v>
      </c>
      <c r="L517" t="s">
        <v>4277</v>
      </c>
      <c r="M517" t="s">
        <v>4277</v>
      </c>
      <c r="O517" t="s">
        <v>4283</v>
      </c>
      <c r="P517" t="s">
        <v>4781</v>
      </c>
      <c r="Q517" t="s">
        <v>5732</v>
      </c>
      <c r="R517" t="s">
        <v>5751</v>
      </c>
      <c r="T517" t="s">
        <v>4276</v>
      </c>
      <c r="V517" t="s">
        <v>5767</v>
      </c>
      <c r="W517" t="s">
        <v>5772</v>
      </c>
      <c r="Y517">
        <v>864.95</v>
      </c>
      <c r="Z517" t="s">
        <v>5803</v>
      </c>
      <c r="AA517" t="s">
        <v>5810</v>
      </c>
      <c r="AC517" t="s">
        <v>6324</v>
      </c>
      <c r="AE517" t="s">
        <v>8325</v>
      </c>
      <c r="AF517">
        <v>0</v>
      </c>
      <c r="AG517" t="s">
        <v>9272</v>
      </c>
      <c r="AI517">
        <v>5</v>
      </c>
      <c r="AJ517">
        <v>1</v>
      </c>
      <c r="AK517">
        <v>0</v>
      </c>
      <c r="AL517">
        <v>555.04</v>
      </c>
      <c r="AO517" t="s">
        <v>9298</v>
      </c>
      <c r="AP517">
        <v>69324.60000000001</v>
      </c>
      <c r="AV517">
        <v>2.35</v>
      </c>
      <c r="AW517" t="s">
        <v>63</v>
      </c>
    </row>
    <row r="518" spans="1:49">
      <c r="A518" s="1">
        <f>HYPERLINK("https://cms.ls-nyc.org/matter/dynamic-profile/view/1885955","18-1885955")</f>
        <v>0</v>
      </c>
      <c r="B518" t="s">
        <v>64</v>
      </c>
      <c r="C518" t="s">
        <v>82</v>
      </c>
      <c r="D518" t="s">
        <v>191</v>
      </c>
      <c r="E518" t="s">
        <v>94</v>
      </c>
      <c r="F518" t="s">
        <v>625</v>
      </c>
      <c r="G518" t="s">
        <v>1691</v>
      </c>
      <c r="H518" t="s">
        <v>2835</v>
      </c>
      <c r="I518">
        <v>11</v>
      </c>
      <c r="J518" t="s">
        <v>4222</v>
      </c>
      <c r="K518">
        <v>11435</v>
      </c>
      <c r="L518" t="s">
        <v>4275</v>
      </c>
      <c r="M518" t="s">
        <v>4275</v>
      </c>
      <c r="O518" t="s">
        <v>4282</v>
      </c>
      <c r="P518" t="s">
        <v>4782</v>
      </c>
      <c r="Q518" t="s">
        <v>5732</v>
      </c>
      <c r="R518" t="s">
        <v>5751</v>
      </c>
      <c r="S518" t="s">
        <v>5758</v>
      </c>
      <c r="T518" t="s">
        <v>4276</v>
      </c>
      <c r="V518" t="s">
        <v>5767</v>
      </c>
      <c r="W518" t="s">
        <v>5772</v>
      </c>
      <c r="X518" t="s">
        <v>154</v>
      </c>
      <c r="Y518">
        <v>910</v>
      </c>
      <c r="Z518" t="s">
        <v>5803</v>
      </c>
      <c r="AA518" t="s">
        <v>5804</v>
      </c>
      <c r="AB518" t="s">
        <v>5820</v>
      </c>
      <c r="AC518" t="s">
        <v>6179</v>
      </c>
      <c r="AD518" t="s">
        <v>4700</v>
      </c>
      <c r="AE518" t="s">
        <v>8185</v>
      </c>
      <c r="AF518">
        <v>24</v>
      </c>
      <c r="AG518" t="s">
        <v>9272</v>
      </c>
      <c r="AH518" t="s">
        <v>4280</v>
      </c>
      <c r="AI518">
        <v>28</v>
      </c>
      <c r="AJ518">
        <v>1</v>
      </c>
      <c r="AK518">
        <v>0</v>
      </c>
      <c r="AL518">
        <v>0</v>
      </c>
      <c r="AO518" t="s">
        <v>9298</v>
      </c>
      <c r="AP518">
        <v>0</v>
      </c>
      <c r="AR518" t="s">
        <v>9329</v>
      </c>
      <c r="AS518" t="s">
        <v>9336</v>
      </c>
      <c r="AT518" t="s">
        <v>9369</v>
      </c>
      <c r="AU518" t="s">
        <v>9471</v>
      </c>
      <c r="AV518">
        <v>40.85</v>
      </c>
      <c r="AW518" t="s">
        <v>54</v>
      </c>
    </row>
    <row r="519" spans="1:49">
      <c r="A519" s="1">
        <f>HYPERLINK("https://cms.ls-nyc.org/matter/dynamic-profile/view/1893899","19-1893899")</f>
        <v>0</v>
      </c>
      <c r="B519" t="s">
        <v>64</v>
      </c>
      <c r="C519" t="s">
        <v>82</v>
      </c>
      <c r="D519" t="s">
        <v>96</v>
      </c>
      <c r="E519" t="s">
        <v>164</v>
      </c>
      <c r="F519" t="s">
        <v>743</v>
      </c>
      <c r="G519" t="s">
        <v>1812</v>
      </c>
      <c r="H519" t="s">
        <v>2979</v>
      </c>
      <c r="I519" t="s">
        <v>4020</v>
      </c>
      <c r="J519" t="s">
        <v>4223</v>
      </c>
      <c r="K519">
        <v>11423</v>
      </c>
      <c r="L519" t="s">
        <v>4275</v>
      </c>
      <c r="M519" t="s">
        <v>4275</v>
      </c>
      <c r="N519" t="s">
        <v>4278</v>
      </c>
      <c r="O519" t="s">
        <v>4282</v>
      </c>
      <c r="P519" t="s">
        <v>4783</v>
      </c>
      <c r="Q519" t="s">
        <v>5732</v>
      </c>
      <c r="R519" t="s">
        <v>5753</v>
      </c>
      <c r="S519" t="s">
        <v>5759</v>
      </c>
      <c r="T519" t="s">
        <v>4276</v>
      </c>
      <c r="V519" t="s">
        <v>5767</v>
      </c>
      <c r="W519" t="s">
        <v>5772</v>
      </c>
      <c r="X519" t="s">
        <v>96</v>
      </c>
      <c r="Y519">
        <v>1000</v>
      </c>
      <c r="Z519" t="s">
        <v>5803</v>
      </c>
      <c r="AA519" t="s">
        <v>5804</v>
      </c>
      <c r="AB519" t="s">
        <v>5821</v>
      </c>
      <c r="AC519" t="s">
        <v>6182</v>
      </c>
      <c r="AD519" t="s">
        <v>7289</v>
      </c>
      <c r="AE519" t="s">
        <v>8326</v>
      </c>
      <c r="AF519">
        <v>65</v>
      </c>
      <c r="AG519" t="s">
        <v>9272</v>
      </c>
      <c r="AH519" t="s">
        <v>4280</v>
      </c>
      <c r="AI519">
        <v>1</v>
      </c>
      <c r="AJ519">
        <v>1</v>
      </c>
      <c r="AK519">
        <v>0</v>
      </c>
      <c r="AL519">
        <v>0</v>
      </c>
      <c r="AO519" t="s">
        <v>1425</v>
      </c>
      <c r="AP519">
        <v>0</v>
      </c>
      <c r="AV519">
        <v>1.8</v>
      </c>
      <c r="AW519" t="s">
        <v>54</v>
      </c>
    </row>
    <row r="520" spans="1:49">
      <c r="A520" s="1">
        <f>HYPERLINK("https://cms.ls-nyc.org/matter/dynamic-profile/view/1883670","18-1883670")</f>
        <v>0</v>
      </c>
      <c r="B520" t="s">
        <v>64</v>
      </c>
      <c r="C520" t="s">
        <v>82</v>
      </c>
      <c r="D520" t="s">
        <v>186</v>
      </c>
      <c r="E520" t="s">
        <v>304</v>
      </c>
      <c r="F520" t="s">
        <v>744</v>
      </c>
      <c r="G520" t="s">
        <v>1569</v>
      </c>
      <c r="H520" t="s">
        <v>2980</v>
      </c>
      <c r="I520" t="s">
        <v>3864</v>
      </c>
      <c r="J520" t="s">
        <v>4231</v>
      </c>
      <c r="K520">
        <v>11419</v>
      </c>
      <c r="L520" t="s">
        <v>4275</v>
      </c>
      <c r="M520" t="s">
        <v>4275</v>
      </c>
      <c r="O520" t="s">
        <v>4282</v>
      </c>
      <c r="P520" t="s">
        <v>4784</v>
      </c>
      <c r="Q520" t="s">
        <v>5732</v>
      </c>
      <c r="R520" t="s">
        <v>5753</v>
      </c>
      <c r="S520" t="s">
        <v>5759</v>
      </c>
      <c r="T520" t="s">
        <v>4276</v>
      </c>
      <c r="V520" t="s">
        <v>5767</v>
      </c>
      <c r="W520" t="s">
        <v>5771</v>
      </c>
      <c r="X520" t="s">
        <v>186</v>
      </c>
      <c r="Y520">
        <v>1400</v>
      </c>
      <c r="Z520" t="s">
        <v>5803</v>
      </c>
      <c r="AA520" t="s">
        <v>5804</v>
      </c>
      <c r="AB520" t="s">
        <v>5821</v>
      </c>
      <c r="AC520" t="s">
        <v>6325</v>
      </c>
      <c r="AE520" t="s">
        <v>8327</v>
      </c>
      <c r="AF520">
        <v>3</v>
      </c>
      <c r="AG520" t="s">
        <v>9269</v>
      </c>
      <c r="AH520" t="s">
        <v>4280</v>
      </c>
      <c r="AI520">
        <v>1</v>
      </c>
      <c r="AJ520">
        <v>1</v>
      </c>
      <c r="AK520">
        <v>0</v>
      </c>
      <c r="AL520">
        <v>0</v>
      </c>
      <c r="AO520" t="s">
        <v>1425</v>
      </c>
      <c r="AP520">
        <v>0</v>
      </c>
      <c r="AV520">
        <v>2.35</v>
      </c>
      <c r="AW520" t="s">
        <v>73</v>
      </c>
    </row>
    <row r="521" spans="1:49">
      <c r="A521" s="1">
        <f>HYPERLINK("https://cms.ls-nyc.org/matter/dynamic-profile/view/1894489","19-1894489")</f>
        <v>0</v>
      </c>
      <c r="B521" t="s">
        <v>64</v>
      </c>
      <c r="C521" t="s">
        <v>82</v>
      </c>
      <c r="D521" t="s">
        <v>169</v>
      </c>
      <c r="E521" t="s">
        <v>95</v>
      </c>
      <c r="F521" t="s">
        <v>329</v>
      </c>
      <c r="G521" t="s">
        <v>1813</v>
      </c>
      <c r="H521" t="s">
        <v>2981</v>
      </c>
      <c r="I521" t="s">
        <v>4021</v>
      </c>
      <c r="J521" t="s">
        <v>4233</v>
      </c>
      <c r="K521">
        <v>11375</v>
      </c>
      <c r="L521" t="s">
        <v>4275</v>
      </c>
      <c r="M521" t="s">
        <v>4275</v>
      </c>
      <c r="N521" t="s">
        <v>4278</v>
      </c>
      <c r="O521" t="s">
        <v>4282</v>
      </c>
      <c r="P521" t="s">
        <v>4785</v>
      </c>
      <c r="Q521" t="s">
        <v>5731</v>
      </c>
      <c r="R521" t="s">
        <v>5753</v>
      </c>
      <c r="S521" t="s">
        <v>5759</v>
      </c>
      <c r="T521" t="s">
        <v>4276</v>
      </c>
      <c r="V521" t="s">
        <v>5767</v>
      </c>
      <c r="W521" t="s">
        <v>5772</v>
      </c>
      <c r="X521" t="s">
        <v>169</v>
      </c>
      <c r="Y521">
        <v>904.42</v>
      </c>
      <c r="Z521" t="s">
        <v>5803</v>
      </c>
      <c r="AA521" t="s">
        <v>5804</v>
      </c>
      <c r="AB521" t="s">
        <v>5821</v>
      </c>
      <c r="AC521" t="s">
        <v>6326</v>
      </c>
      <c r="AD521" t="s">
        <v>7289</v>
      </c>
      <c r="AE521" t="s">
        <v>8328</v>
      </c>
      <c r="AF521">
        <v>55</v>
      </c>
      <c r="AG521" t="s">
        <v>9272</v>
      </c>
      <c r="AH521" t="s">
        <v>4280</v>
      </c>
      <c r="AI521">
        <v>36</v>
      </c>
      <c r="AJ521">
        <v>1</v>
      </c>
      <c r="AK521">
        <v>0</v>
      </c>
      <c r="AL521">
        <v>0</v>
      </c>
      <c r="AO521" t="s">
        <v>1425</v>
      </c>
      <c r="AP521">
        <v>0</v>
      </c>
      <c r="AV521">
        <v>1.8</v>
      </c>
      <c r="AW521" t="s">
        <v>54</v>
      </c>
    </row>
    <row r="522" spans="1:49">
      <c r="A522" s="1">
        <f>HYPERLINK("https://cms.ls-nyc.org/matter/dynamic-profile/view/1891675","19-1891675")</f>
        <v>0</v>
      </c>
      <c r="B522" t="s">
        <v>64</v>
      </c>
      <c r="C522" t="s">
        <v>83</v>
      </c>
      <c r="D522" t="s">
        <v>233</v>
      </c>
      <c r="F522" t="s">
        <v>451</v>
      </c>
      <c r="G522" t="s">
        <v>1814</v>
      </c>
      <c r="H522" t="s">
        <v>2628</v>
      </c>
      <c r="I522" t="s">
        <v>3914</v>
      </c>
      <c r="J522" t="s">
        <v>4240</v>
      </c>
      <c r="K522">
        <v>11373</v>
      </c>
      <c r="L522" t="s">
        <v>4275</v>
      </c>
      <c r="M522" t="s">
        <v>4275</v>
      </c>
      <c r="N522" t="s">
        <v>4278</v>
      </c>
      <c r="O522" t="s">
        <v>4281</v>
      </c>
      <c r="P522" t="s">
        <v>4786</v>
      </c>
      <c r="Q522" t="s">
        <v>5731</v>
      </c>
      <c r="R522" t="s">
        <v>5751</v>
      </c>
      <c r="T522" t="s">
        <v>4276</v>
      </c>
      <c r="V522" t="s">
        <v>5767</v>
      </c>
      <c r="W522" t="s">
        <v>5771</v>
      </c>
      <c r="X522" t="s">
        <v>233</v>
      </c>
      <c r="Y522">
        <v>1034.72</v>
      </c>
      <c r="Z522" t="s">
        <v>5803</v>
      </c>
      <c r="AA522" t="s">
        <v>5812</v>
      </c>
      <c r="AC522" t="s">
        <v>5971</v>
      </c>
      <c r="AD522" t="s">
        <v>7343</v>
      </c>
      <c r="AE522" t="s">
        <v>7979</v>
      </c>
      <c r="AF522">
        <v>78</v>
      </c>
      <c r="AG522" t="s">
        <v>9272</v>
      </c>
      <c r="AH522" t="s">
        <v>5806</v>
      </c>
      <c r="AI522">
        <v>46</v>
      </c>
      <c r="AJ522">
        <v>1</v>
      </c>
      <c r="AK522">
        <v>0</v>
      </c>
      <c r="AL522">
        <v>0</v>
      </c>
      <c r="AO522" t="s">
        <v>1425</v>
      </c>
      <c r="AP522">
        <v>0</v>
      </c>
      <c r="AR522" t="s">
        <v>9326</v>
      </c>
      <c r="AS522" t="s">
        <v>5806</v>
      </c>
      <c r="AT522" t="s">
        <v>9369</v>
      </c>
      <c r="AU522" t="s">
        <v>9472</v>
      </c>
      <c r="AV522">
        <v>18.5</v>
      </c>
      <c r="AW522" t="s">
        <v>65</v>
      </c>
    </row>
    <row r="523" spans="1:49">
      <c r="A523" s="1">
        <f>HYPERLINK("https://cms.ls-nyc.org/matter/dynamic-profile/view/1900061","19-1900061")</f>
        <v>0</v>
      </c>
      <c r="B523" t="s">
        <v>64</v>
      </c>
      <c r="C523" t="s">
        <v>83</v>
      </c>
      <c r="D523" t="s">
        <v>99</v>
      </c>
      <c r="F523" t="s">
        <v>745</v>
      </c>
      <c r="G523" t="s">
        <v>1815</v>
      </c>
      <c r="H523" t="s">
        <v>2982</v>
      </c>
      <c r="I523" t="s">
        <v>4009</v>
      </c>
      <c r="J523" t="s">
        <v>4229</v>
      </c>
      <c r="K523">
        <v>11367</v>
      </c>
      <c r="L523" t="s">
        <v>4275</v>
      </c>
      <c r="M523" t="s">
        <v>4277</v>
      </c>
      <c r="N523" t="s">
        <v>4278</v>
      </c>
      <c r="O523" t="s">
        <v>4283</v>
      </c>
      <c r="P523" t="s">
        <v>4787</v>
      </c>
      <c r="Q523" t="s">
        <v>5731</v>
      </c>
      <c r="R523" t="s">
        <v>5751</v>
      </c>
      <c r="T523" t="s">
        <v>4275</v>
      </c>
      <c r="V523" t="s">
        <v>5767</v>
      </c>
      <c r="W523" t="s">
        <v>5772</v>
      </c>
      <c r="X523" t="s">
        <v>99</v>
      </c>
      <c r="Y523">
        <v>1358</v>
      </c>
      <c r="Z523" t="s">
        <v>5803</v>
      </c>
      <c r="AA523" t="s">
        <v>5804</v>
      </c>
      <c r="AC523" t="s">
        <v>6327</v>
      </c>
      <c r="AE523" t="s">
        <v>8329</v>
      </c>
      <c r="AF523">
        <v>12</v>
      </c>
      <c r="AG523" t="s">
        <v>9272</v>
      </c>
      <c r="AI523">
        <v>8</v>
      </c>
      <c r="AJ523">
        <v>1</v>
      </c>
      <c r="AK523">
        <v>0</v>
      </c>
      <c r="AL523">
        <v>0</v>
      </c>
      <c r="AO523" t="s">
        <v>1425</v>
      </c>
      <c r="AP523">
        <v>0</v>
      </c>
      <c r="AV523">
        <v>1.55</v>
      </c>
      <c r="AW523" t="s">
        <v>9547</v>
      </c>
    </row>
    <row r="524" spans="1:49">
      <c r="A524" s="1">
        <f>HYPERLINK("https://cms.ls-nyc.org/matter/dynamic-profile/view/1885361","18-1885361")</f>
        <v>0</v>
      </c>
      <c r="B524" t="s">
        <v>64</v>
      </c>
      <c r="C524" t="s">
        <v>82</v>
      </c>
      <c r="D524" t="s">
        <v>185</v>
      </c>
      <c r="E524" t="s">
        <v>175</v>
      </c>
      <c r="F524" t="s">
        <v>746</v>
      </c>
      <c r="G524" t="s">
        <v>1816</v>
      </c>
      <c r="H524" t="s">
        <v>2983</v>
      </c>
      <c r="I524" t="s">
        <v>4022</v>
      </c>
      <c r="J524" t="s">
        <v>4242</v>
      </c>
      <c r="K524">
        <v>11364</v>
      </c>
      <c r="L524" t="s">
        <v>4275</v>
      </c>
      <c r="M524" t="s">
        <v>4275</v>
      </c>
      <c r="O524" t="s">
        <v>4282</v>
      </c>
      <c r="P524" t="s">
        <v>4788</v>
      </c>
      <c r="Q524" t="s">
        <v>5731</v>
      </c>
      <c r="R524" t="s">
        <v>5753</v>
      </c>
      <c r="S524" t="s">
        <v>5759</v>
      </c>
      <c r="T524" t="s">
        <v>4276</v>
      </c>
      <c r="V524" t="s">
        <v>5767</v>
      </c>
      <c r="W524" t="s">
        <v>5772</v>
      </c>
      <c r="X524" t="s">
        <v>191</v>
      </c>
      <c r="Y524">
        <v>1850</v>
      </c>
      <c r="Z524" t="s">
        <v>5803</v>
      </c>
      <c r="AA524" t="s">
        <v>5804</v>
      </c>
      <c r="AB524" t="s">
        <v>5821</v>
      </c>
      <c r="AC524" t="s">
        <v>6328</v>
      </c>
      <c r="AD524" t="s">
        <v>7495</v>
      </c>
      <c r="AE524" t="s">
        <v>8330</v>
      </c>
      <c r="AF524">
        <v>2</v>
      </c>
      <c r="AG524" t="s">
        <v>9270</v>
      </c>
      <c r="AH524" t="s">
        <v>4280</v>
      </c>
      <c r="AI524">
        <v>3</v>
      </c>
      <c r="AJ524">
        <v>2</v>
      </c>
      <c r="AK524">
        <v>1</v>
      </c>
      <c r="AL524">
        <v>0</v>
      </c>
      <c r="AO524" t="s">
        <v>1425</v>
      </c>
      <c r="AP524">
        <v>0</v>
      </c>
      <c r="AV524">
        <v>2.6</v>
      </c>
      <c r="AW524" t="s">
        <v>54</v>
      </c>
    </row>
    <row r="525" spans="1:49">
      <c r="A525" s="1">
        <f>HYPERLINK("https://cms.ls-nyc.org/matter/dynamic-profile/view/1900400","19-1900400")</f>
        <v>0</v>
      </c>
      <c r="B525" t="s">
        <v>64</v>
      </c>
      <c r="C525" t="s">
        <v>83</v>
      </c>
      <c r="D525" t="s">
        <v>232</v>
      </c>
      <c r="F525" t="s">
        <v>747</v>
      </c>
      <c r="G525" t="s">
        <v>1002</v>
      </c>
      <c r="H525" t="s">
        <v>2984</v>
      </c>
      <c r="I525" t="s">
        <v>4023</v>
      </c>
      <c r="J525" t="s">
        <v>4229</v>
      </c>
      <c r="K525">
        <v>11355</v>
      </c>
      <c r="L525" t="s">
        <v>4275</v>
      </c>
      <c r="M525" t="s">
        <v>4277</v>
      </c>
      <c r="N525" t="s">
        <v>4278</v>
      </c>
      <c r="O525" t="s">
        <v>4283</v>
      </c>
      <c r="P525" t="s">
        <v>4789</v>
      </c>
      <c r="Q525" t="s">
        <v>5732</v>
      </c>
      <c r="R525" t="s">
        <v>5753</v>
      </c>
      <c r="T525" t="s">
        <v>4276</v>
      </c>
      <c r="V525" t="s">
        <v>5767</v>
      </c>
      <c r="W525" t="s">
        <v>5772</v>
      </c>
      <c r="X525" t="s">
        <v>232</v>
      </c>
      <c r="Y525">
        <v>1257.22</v>
      </c>
      <c r="Z525" t="s">
        <v>5803</v>
      </c>
      <c r="AA525" t="s">
        <v>5808</v>
      </c>
      <c r="AC525" t="s">
        <v>6329</v>
      </c>
      <c r="AE525" t="s">
        <v>8331</v>
      </c>
      <c r="AF525">
        <v>144</v>
      </c>
      <c r="AG525" t="s">
        <v>9270</v>
      </c>
      <c r="AH525" t="s">
        <v>4280</v>
      </c>
      <c r="AI525">
        <v>11</v>
      </c>
      <c r="AJ525">
        <v>1</v>
      </c>
      <c r="AK525">
        <v>0</v>
      </c>
      <c r="AL525">
        <v>19.05</v>
      </c>
      <c r="AO525" t="s">
        <v>9302</v>
      </c>
      <c r="AP525">
        <v>2379</v>
      </c>
      <c r="AV525">
        <v>2.05</v>
      </c>
      <c r="AW525" t="s">
        <v>54</v>
      </c>
    </row>
    <row r="526" spans="1:49">
      <c r="A526" s="1">
        <f>HYPERLINK("https://cms.ls-nyc.org/matter/dynamic-profile/view/1899975","19-1899975")</f>
        <v>0</v>
      </c>
      <c r="B526" t="s">
        <v>64</v>
      </c>
      <c r="C526" t="s">
        <v>83</v>
      </c>
      <c r="D526" t="s">
        <v>99</v>
      </c>
      <c r="F526" t="s">
        <v>748</v>
      </c>
      <c r="G526" t="s">
        <v>1817</v>
      </c>
      <c r="H526" t="s">
        <v>2985</v>
      </c>
      <c r="I526" t="s">
        <v>3927</v>
      </c>
      <c r="J526" t="s">
        <v>4235</v>
      </c>
      <c r="K526">
        <v>11421</v>
      </c>
      <c r="L526" t="s">
        <v>4275</v>
      </c>
      <c r="M526" t="s">
        <v>4277</v>
      </c>
      <c r="N526" t="s">
        <v>4278</v>
      </c>
      <c r="O526" t="s">
        <v>4283</v>
      </c>
      <c r="P526" t="s">
        <v>4790</v>
      </c>
      <c r="Q526" t="s">
        <v>5732</v>
      </c>
      <c r="R526" t="s">
        <v>5753</v>
      </c>
      <c r="T526" t="s">
        <v>4276</v>
      </c>
      <c r="V526" t="s">
        <v>5767</v>
      </c>
      <c r="W526" t="s">
        <v>5772</v>
      </c>
      <c r="X526" t="s">
        <v>99</v>
      </c>
      <c r="Y526">
        <v>1500</v>
      </c>
      <c r="Z526" t="s">
        <v>5803</v>
      </c>
      <c r="AA526" t="s">
        <v>5804</v>
      </c>
      <c r="AC526" t="s">
        <v>6330</v>
      </c>
      <c r="AD526" t="s">
        <v>7496</v>
      </c>
      <c r="AE526" t="s">
        <v>8332</v>
      </c>
      <c r="AF526">
        <v>2</v>
      </c>
      <c r="AG526" t="s">
        <v>9269</v>
      </c>
      <c r="AH526" t="s">
        <v>4280</v>
      </c>
      <c r="AI526">
        <v>-1</v>
      </c>
      <c r="AJ526">
        <v>1</v>
      </c>
      <c r="AK526">
        <v>2</v>
      </c>
      <c r="AL526">
        <v>21.1</v>
      </c>
      <c r="AO526" t="s">
        <v>1425</v>
      </c>
      <c r="AP526">
        <v>4500</v>
      </c>
      <c r="AV526">
        <v>2.75</v>
      </c>
      <c r="AW526" t="s">
        <v>54</v>
      </c>
    </row>
    <row r="527" spans="1:49">
      <c r="A527" s="1">
        <f>HYPERLINK("https://cms.ls-nyc.org/matter/dynamic-profile/view/1898052","19-1898052")</f>
        <v>0</v>
      </c>
      <c r="B527" t="s">
        <v>64</v>
      </c>
      <c r="C527" t="s">
        <v>83</v>
      </c>
      <c r="D527" t="s">
        <v>123</v>
      </c>
      <c r="F527" t="s">
        <v>749</v>
      </c>
      <c r="G527" t="s">
        <v>1818</v>
      </c>
      <c r="H527" t="s">
        <v>2986</v>
      </c>
      <c r="I527" t="s">
        <v>4024</v>
      </c>
      <c r="J527" t="s">
        <v>4226</v>
      </c>
      <c r="K527">
        <v>11385</v>
      </c>
      <c r="L527" t="s">
        <v>4275</v>
      </c>
      <c r="M527" t="s">
        <v>4275</v>
      </c>
      <c r="N527" t="s">
        <v>4279</v>
      </c>
      <c r="O527" t="s">
        <v>4281</v>
      </c>
      <c r="P527" t="s">
        <v>4791</v>
      </c>
      <c r="Q527" t="s">
        <v>5732</v>
      </c>
      <c r="R527" t="s">
        <v>5751</v>
      </c>
      <c r="T527" t="s">
        <v>4275</v>
      </c>
      <c r="V527" t="s">
        <v>5767</v>
      </c>
      <c r="W527" t="s">
        <v>5772</v>
      </c>
      <c r="X527" t="s">
        <v>123</v>
      </c>
      <c r="Y527">
        <v>1450</v>
      </c>
      <c r="Z527" t="s">
        <v>5803</v>
      </c>
      <c r="AA527" t="s">
        <v>5804</v>
      </c>
      <c r="AC527" t="s">
        <v>6331</v>
      </c>
      <c r="AD527" t="s">
        <v>7497</v>
      </c>
      <c r="AE527" t="s">
        <v>8333</v>
      </c>
      <c r="AF527">
        <v>6</v>
      </c>
      <c r="AG527" t="s">
        <v>9269</v>
      </c>
      <c r="AH527" t="s">
        <v>4280</v>
      </c>
      <c r="AI527">
        <v>1</v>
      </c>
      <c r="AJ527">
        <v>1</v>
      </c>
      <c r="AK527">
        <v>1</v>
      </c>
      <c r="AL527">
        <v>22.37</v>
      </c>
      <c r="AO527" t="s">
        <v>9300</v>
      </c>
      <c r="AP527">
        <v>3783</v>
      </c>
      <c r="AS527" t="s">
        <v>9336</v>
      </c>
      <c r="AT527" t="s">
        <v>9370</v>
      </c>
      <c r="AU527" t="s">
        <v>9473</v>
      </c>
      <c r="AV527">
        <v>11.7</v>
      </c>
      <c r="AW527" t="s">
        <v>9547</v>
      </c>
    </row>
    <row r="528" spans="1:49">
      <c r="A528" s="1">
        <f>HYPERLINK("https://cms.ls-nyc.org/matter/dynamic-profile/view/1890933","19-1890933")</f>
        <v>0</v>
      </c>
      <c r="B528" t="s">
        <v>64</v>
      </c>
      <c r="C528" t="s">
        <v>82</v>
      </c>
      <c r="D528" t="s">
        <v>98</v>
      </c>
      <c r="E528" t="s">
        <v>164</v>
      </c>
      <c r="F528" t="s">
        <v>750</v>
      </c>
      <c r="G528" t="s">
        <v>1819</v>
      </c>
      <c r="H528" t="s">
        <v>2987</v>
      </c>
      <c r="I528">
        <v>21</v>
      </c>
      <c r="J528" t="s">
        <v>4229</v>
      </c>
      <c r="K528">
        <v>11354</v>
      </c>
      <c r="L528" t="s">
        <v>4275</v>
      </c>
      <c r="M528" t="s">
        <v>4275</v>
      </c>
      <c r="N528" t="s">
        <v>4278</v>
      </c>
      <c r="O528" t="s">
        <v>4282</v>
      </c>
      <c r="P528" t="s">
        <v>4792</v>
      </c>
      <c r="Q528" t="s">
        <v>5731</v>
      </c>
      <c r="R528" t="s">
        <v>5753</v>
      </c>
      <c r="S528" t="s">
        <v>5759</v>
      </c>
      <c r="T528" t="s">
        <v>4276</v>
      </c>
      <c r="V528" t="s">
        <v>5768</v>
      </c>
      <c r="W528" t="s">
        <v>5772</v>
      </c>
      <c r="X528" t="s">
        <v>98</v>
      </c>
      <c r="Y528">
        <v>528</v>
      </c>
      <c r="Z528" t="s">
        <v>5803</v>
      </c>
      <c r="AA528" t="s">
        <v>5804</v>
      </c>
      <c r="AB528" t="s">
        <v>5821</v>
      </c>
      <c r="AC528" t="s">
        <v>6332</v>
      </c>
      <c r="AD528" t="s">
        <v>7289</v>
      </c>
      <c r="AE528" t="s">
        <v>8334</v>
      </c>
      <c r="AF528">
        <v>434</v>
      </c>
      <c r="AG528" t="s">
        <v>9271</v>
      </c>
      <c r="AH528" t="s">
        <v>4280</v>
      </c>
      <c r="AI528">
        <v>-1</v>
      </c>
      <c r="AJ528">
        <v>1</v>
      </c>
      <c r="AK528">
        <v>1</v>
      </c>
      <c r="AL528">
        <v>26.22</v>
      </c>
      <c r="AO528" t="s">
        <v>1425</v>
      </c>
      <c r="AP528">
        <v>4433</v>
      </c>
      <c r="AV528">
        <v>1.1</v>
      </c>
      <c r="AW528" t="s">
        <v>54</v>
      </c>
    </row>
    <row r="529" spans="1:49">
      <c r="A529" s="1">
        <f>HYPERLINK("https://cms.ls-nyc.org/matter/dynamic-profile/view/1900421","19-1900421")</f>
        <v>0</v>
      </c>
      <c r="B529" t="s">
        <v>64</v>
      </c>
      <c r="C529" t="s">
        <v>83</v>
      </c>
      <c r="D529" t="s">
        <v>232</v>
      </c>
      <c r="F529" t="s">
        <v>751</v>
      </c>
      <c r="G529" t="s">
        <v>1820</v>
      </c>
      <c r="H529" t="s">
        <v>2988</v>
      </c>
      <c r="I529">
        <v>1</v>
      </c>
      <c r="J529" t="s">
        <v>4245</v>
      </c>
      <c r="K529">
        <v>11418</v>
      </c>
      <c r="L529" t="s">
        <v>4275</v>
      </c>
      <c r="M529" t="s">
        <v>4277</v>
      </c>
      <c r="N529" t="s">
        <v>4278</v>
      </c>
      <c r="O529" t="s">
        <v>4282</v>
      </c>
      <c r="P529" t="s">
        <v>4793</v>
      </c>
      <c r="Q529" t="s">
        <v>5731</v>
      </c>
      <c r="R529" t="s">
        <v>5753</v>
      </c>
      <c r="T529" t="s">
        <v>4276</v>
      </c>
      <c r="V529" t="s">
        <v>5767</v>
      </c>
      <c r="X529" t="s">
        <v>232</v>
      </c>
      <c r="Y529">
        <v>2010</v>
      </c>
      <c r="Z529" t="s">
        <v>5803</v>
      </c>
      <c r="AA529" t="s">
        <v>5808</v>
      </c>
      <c r="AB529" t="s">
        <v>5821</v>
      </c>
      <c r="AC529" t="s">
        <v>6333</v>
      </c>
      <c r="AE529" t="s">
        <v>8335</v>
      </c>
      <c r="AF529">
        <v>2</v>
      </c>
      <c r="AG529" t="s">
        <v>9270</v>
      </c>
      <c r="AH529" t="s">
        <v>9283</v>
      </c>
      <c r="AI529">
        <v>7</v>
      </c>
      <c r="AJ529">
        <v>1</v>
      </c>
      <c r="AK529">
        <v>4</v>
      </c>
      <c r="AL529">
        <v>28.29</v>
      </c>
      <c r="AO529" t="s">
        <v>1425</v>
      </c>
      <c r="AP529">
        <v>8536</v>
      </c>
      <c r="AV529">
        <v>0.4</v>
      </c>
      <c r="AW529" t="s">
        <v>54</v>
      </c>
    </row>
    <row r="530" spans="1:49">
      <c r="A530" s="1">
        <f>HYPERLINK("https://cms.ls-nyc.org/matter/dynamic-profile/view/1894469","19-1894469")</f>
        <v>0</v>
      </c>
      <c r="B530" t="s">
        <v>64</v>
      </c>
      <c r="C530" t="s">
        <v>82</v>
      </c>
      <c r="D530" t="s">
        <v>169</v>
      </c>
      <c r="E530" t="s">
        <v>95</v>
      </c>
      <c r="F530" t="s">
        <v>752</v>
      </c>
      <c r="G530" t="s">
        <v>1641</v>
      </c>
      <c r="H530" t="s">
        <v>2989</v>
      </c>
      <c r="I530" t="s">
        <v>4025</v>
      </c>
      <c r="J530" t="s">
        <v>4239</v>
      </c>
      <c r="K530">
        <v>11420</v>
      </c>
      <c r="L530" t="s">
        <v>4275</v>
      </c>
      <c r="M530" t="s">
        <v>4275</v>
      </c>
      <c r="N530" t="s">
        <v>4278</v>
      </c>
      <c r="O530" t="s">
        <v>4282</v>
      </c>
      <c r="P530" t="s">
        <v>4794</v>
      </c>
      <c r="Q530" t="s">
        <v>5732</v>
      </c>
      <c r="R530" t="s">
        <v>5753</v>
      </c>
      <c r="S530" t="s">
        <v>5759</v>
      </c>
      <c r="T530" t="s">
        <v>4276</v>
      </c>
      <c r="V530" t="s">
        <v>5767</v>
      </c>
      <c r="W530" t="s">
        <v>5772</v>
      </c>
      <c r="X530" t="s">
        <v>169</v>
      </c>
      <c r="Y530">
        <v>1956</v>
      </c>
      <c r="Z530" t="s">
        <v>5803</v>
      </c>
      <c r="AA530" t="s">
        <v>5804</v>
      </c>
      <c r="AB530" t="s">
        <v>5821</v>
      </c>
      <c r="AC530" t="s">
        <v>6334</v>
      </c>
      <c r="AD530" t="s">
        <v>7498</v>
      </c>
      <c r="AE530" t="s">
        <v>8336</v>
      </c>
      <c r="AF530">
        <v>2</v>
      </c>
      <c r="AG530" t="s">
        <v>9269</v>
      </c>
      <c r="AH530" t="s">
        <v>9282</v>
      </c>
      <c r="AI530">
        <v>10</v>
      </c>
      <c r="AJ530">
        <v>1</v>
      </c>
      <c r="AK530">
        <v>1</v>
      </c>
      <c r="AL530">
        <v>29.52</v>
      </c>
      <c r="AO530" t="s">
        <v>1425</v>
      </c>
      <c r="AP530">
        <v>4992</v>
      </c>
      <c r="AV530">
        <v>1</v>
      </c>
      <c r="AW530" t="s">
        <v>64</v>
      </c>
    </row>
    <row r="531" spans="1:49">
      <c r="A531" s="1">
        <f>HYPERLINK("https://cms.ls-nyc.org/matter/dynamic-profile/view/1891391","19-1891391")</f>
        <v>0</v>
      </c>
      <c r="B531" t="s">
        <v>64</v>
      </c>
      <c r="C531" t="s">
        <v>83</v>
      </c>
      <c r="D531" t="s">
        <v>234</v>
      </c>
      <c r="F531" t="s">
        <v>753</v>
      </c>
      <c r="G531" t="s">
        <v>1821</v>
      </c>
      <c r="H531" t="s">
        <v>2990</v>
      </c>
      <c r="I531" t="s">
        <v>3934</v>
      </c>
      <c r="J531" t="s">
        <v>4227</v>
      </c>
      <c r="K531">
        <v>11365</v>
      </c>
      <c r="L531" t="s">
        <v>4275</v>
      </c>
      <c r="M531" t="s">
        <v>4277</v>
      </c>
      <c r="N531" t="s">
        <v>4278</v>
      </c>
      <c r="O531" t="s">
        <v>4282</v>
      </c>
      <c r="P531" t="s">
        <v>4795</v>
      </c>
      <c r="Q531" t="s">
        <v>5731</v>
      </c>
      <c r="R531" t="s">
        <v>5751</v>
      </c>
      <c r="T531" t="s">
        <v>4276</v>
      </c>
      <c r="V531" t="s">
        <v>5768</v>
      </c>
      <c r="W531" t="s">
        <v>5772</v>
      </c>
      <c r="X531" t="s">
        <v>233</v>
      </c>
      <c r="Y531">
        <v>532</v>
      </c>
      <c r="Z531" t="s">
        <v>5803</v>
      </c>
      <c r="AA531" t="s">
        <v>5808</v>
      </c>
      <c r="AC531" t="s">
        <v>6335</v>
      </c>
      <c r="AD531" t="s">
        <v>7499</v>
      </c>
      <c r="AE531" t="s">
        <v>8337</v>
      </c>
      <c r="AF531">
        <v>701</v>
      </c>
      <c r="AG531" t="s">
        <v>9271</v>
      </c>
      <c r="AH531" t="s">
        <v>4280</v>
      </c>
      <c r="AI531">
        <v>13</v>
      </c>
      <c r="AJ531">
        <v>1</v>
      </c>
      <c r="AK531">
        <v>2</v>
      </c>
      <c r="AL531">
        <v>36.4</v>
      </c>
      <c r="AO531" t="s">
        <v>1425</v>
      </c>
      <c r="AP531">
        <v>7764</v>
      </c>
      <c r="AR531" t="s">
        <v>9328</v>
      </c>
      <c r="AS531" t="s">
        <v>9355</v>
      </c>
      <c r="AT531" t="s">
        <v>9369</v>
      </c>
      <c r="AU531" t="s">
        <v>9430</v>
      </c>
      <c r="AV531">
        <v>12.85</v>
      </c>
      <c r="AW531" t="s">
        <v>69</v>
      </c>
    </row>
    <row r="532" spans="1:49">
      <c r="A532" s="1">
        <f>HYPERLINK("https://cms.ls-nyc.org/matter/dynamic-profile/view/1893910","19-1893910")</f>
        <v>0</v>
      </c>
      <c r="B532" t="s">
        <v>64</v>
      </c>
      <c r="C532" t="s">
        <v>82</v>
      </c>
      <c r="D532" t="s">
        <v>96</v>
      </c>
      <c r="E532" t="s">
        <v>237</v>
      </c>
      <c r="F532" t="s">
        <v>610</v>
      </c>
      <c r="G532" t="s">
        <v>1822</v>
      </c>
      <c r="H532" t="s">
        <v>2991</v>
      </c>
      <c r="I532" t="s">
        <v>3867</v>
      </c>
      <c r="J532" t="s">
        <v>4223</v>
      </c>
      <c r="K532">
        <v>11423</v>
      </c>
      <c r="L532" t="s">
        <v>4275</v>
      </c>
      <c r="M532" t="s">
        <v>4275</v>
      </c>
      <c r="N532" t="s">
        <v>4279</v>
      </c>
      <c r="O532" t="s">
        <v>4282</v>
      </c>
      <c r="P532" t="s">
        <v>4796</v>
      </c>
      <c r="Q532" t="s">
        <v>5731</v>
      </c>
      <c r="R532" t="s">
        <v>5753</v>
      </c>
      <c r="S532" t="s">
        <v>5759</v>
      </c>
      <c r="T532" t="s">
        <v>4276</v>
      </c>
      <c r="V532" t="s">
        <v>5767</v>
      </c>
      <c r="W532" t="s">
        <v>5771</v>
      </c>
      <c r="X532" t="s">
        <v>96</v>
      </c>
      <c r="Y532">
        <v>1450</v>
      </c>
      <c r="Z532" t="s">
        <v>5803</v>
      </c>
      <c r="AA532" t="s">
        <v>5804</v>
      </c>
      <c r="AB532" t="s">
        <v>5821</v>
      </c>
      <c r="AC532" t="s">
        <v>6336</v>
      </c>
      <c r="AD532" t="s">
        <v>7500</v>
      </c>
      <c r="AE532" t="s">
        <v>8338</v>
      </c>
      <c r="AF532">
        <v>4</v>
      </c>
      <c r="AG532" t="s">
        <v>9269</v>
      </c>
      <c r="AH532" t="s">
        <v>4280</v>
      </c>
      <c r="AI532">
        <v>-1</v>
      </c>
      <c r="AJ532">
        <v>2</v>
      </c>
      <c r="AK532">
        <v>0</v>
      </c>
      <c r="AL532">
        <v>36.69</v>
      </c>
      <c r="AO532" t="s">
        <v>1425</v>
      </c>
      <c r="AP532">
        <v>6204</v>
      </c>
      <c r="AV532">
        <v>3.55</v>
      </c>
      <c r="AW532" t="s">
        <v>54</v>
      </c>
    </row>
    <row r="533" spans="1:49">
      <c r="A533" s="1">
        <f>HYPERLINK("https://cms.ls-nyc.org/matter/dynamic-profile/view/1895890","19-1895890")</f>
        <v>0</v>
      </c>
      <c r="B533" t="s">
        <v>64</v>
      </c>
      <c r="C533" t="s">
        <v>83</v>
      </c>
      <c r="D533" t="s">
        <v>105</v>
      </c>
      <c r="F533" t="s">
        <v>754</v>
      </c>
      <c r="G533" t="s">
        <v>1823</v>
      </c>
      <c r="H533" t="s">
        <v>2992</v>
      </c>
      <c r="I533" t="s">
        <v>3934</v>
      </c>
      <c r="J533" t="s">
        <v>4236</v>
      </c>
      <c r="K533">
        <v>11416</v>
      </c>
      <c r="L533" t="s">
        <v>4275</v>
      </c>
      <c r="M533" t="s">
        <v>4275</v>
      </c>
      <c r="N533" t="s">
        <v>4279</v>
      </c>
      <c r="O533" t="s">
        <v>4283</v>
      </c>
      <c r="P533" t="s">
        <v>4797</v>
      </c>
      <c r="Q533" t="s">
        <v>5731</v>
      </c>
      <c r="R533" t="s">
        <v>5751</v>
      </c>
      <c r="T533" t="s">
        <v>4276</v>
      </c>
      <c r="V533" t="s">
        <v>5767</v>
      </c>
      <c r="W533" t="s">
        <v>5772</v>
      </c>
      <c r="X533" t="s">
        <v>105</v>
      </c>
      <c r="Y533">
        <v>1600</v>
      </c>
      <c r="Z533" t="s">
        <v>5803</v>
      </c>
      <c r="AA533" t="s">
        <v>5804</v>
      </c>
      <c r="AC533" t="s">
        <v>6337</v>
      </c>
      <c r="AD533" t="s">
        <v>7501</v>
      </c>
      <c r="AE533" t="s">
        <v>8339</v>
      </c>
      <c r="AF533">
        <v>6</v>
      </c>
      <c r="AG533" t="s">
        <v>9269</v>
      </c>
      <c r="AH533" t="s">
        <v>4280</v>
      </c>
      <c r="AI533">
        <v>14</v>
      </c>
      <c r="AJ533">
        <v>1</v>
      </c>
      <c r="AK533">
        <v>1</v>
      </c>
      <c r="AL533">
        <v>41.66</v>
      </c>
      <c r="AO533" t="s">
        <v>9311</v>
      </c>
      <c r="AP533">
        <v>7044</v>
      </c>
      <c r="AV533">
        <v>11.45</v>
      </c>
      <c r="AW533" t="s">
        <v>54</v>
      </c>
    </row>
    <row r="534" spans="1:49">
      <c r="A534" s="1">
        <f>HYPERLINK("https://cms.ls-nyc.org/matter/dynamic-profile/view/1888086","19-1888086")</f>
        <v>0</v>
      </c>
      <c r="B534" t="s">
        <v>64</v>
      </c>
      <c r="C534" t="s">
        <v>82</v>
      </c>
      <c r="D534" t="s">
        <v>152</v>
      </c>
      <c r="E534" t="s">
        <v>239</v>
      </c>
      <c r="F534" t="s">
        <v>755</v>
      </c>
      <c r="G534" t="s">
        <v>1824</v>
      </c>
      <c r="H534" t="s">
        <v>2813</v>
      </c>
      <c r="I534" t="s">
        <v>4026</v>
      </c>
      <c r="J534" t="s">
        <v>4241</v>
      </c>
      <c r="K534">
        <v>11368</v>
      </c>
      <c r="L534" t="s">
        <v>4275</v>
      </c>
      <c r="M534" t="s">
        <v>4275</v>
      </c>
      <c r="O534" t="s">
        <v>4282</v>
      </c>
      <c r="P534" t="s">
        <v>4798</v>
      </c>
      <c r="Q534" t="s">
        <v>5731</v>
      </c>
      <c r="R534" t="s">
        <v>5753</v>
      </c>
      <c r="S534" t="s">
        <v>5759</v>
      </c>
      <c r="T534" t="s">
        <v>4276</v>
      </c>
      <c r="V534" t="s">
        <v>5767</v>
      </c>
      <c r="W534" t="s">
        <v>5773</v>
      </c>
      <c r="X534" t="s">
        <v>152</v>
      </c>
      <c r="Y534">
        <v>1907</v>
      </c>
      <c r="Z534" t="s">
        <v>5803</v>
      </c>
      <c r="AA534" t="s">
        <v>5804</v>
      </c>
      <c r="AB534" t="s">
        <v>5821</v>
      </c>
      <c r="AC534" t="s">
        <v>6338</v>
      </c>
      <c r="AD534" t="s">
        <v>7502</v>
      </c>
      <c r="AE534" t="s">
        <v>8340</v>
      </c>
      <c r="AF534">
        <v>236</v>
      </c>
      <c r="AG534" t="s">
        <v>9272</v>
      </c>
      <c r="AH534" t="s">
        <v>4280</v>
      </c>
      <c r="AI534">
        <v>10</v>
      </c>
      <c r="AJ534">
        <v>1</v>
      </c>
      <c r="AK534">
        <v>5</v>
      </c>
      <c r="AL534">
        <v>46.24</v>
      </c>
      <c r="AO534" t="s">
        <v>1425</v>
      </c>
      <c r="AP534">
        <v>15600</v>
      </c>
      <c r="AV534">
        <v>0.25</v>
      </c>
      <c r="AW534" t="s">
        <v>54</v>
      </c>
    </row>
    <row r="535" spans="1:49">
      <c r="A535" s="1">
        <f>HYPERLINK("https://cms.ls-nyc.org/matter/dynamic-profile/view/1895229","19-1895229")</f>
        <v>0</v>
      </c>
      <c r="B535" t="s">
        <v>64</v>
      </c>
      <c r="C535" t="s">
        <v>83</v>
      </c>
      <c r="D535" t="s">
        <v>218</v>
      </c>
      <c r="F535" t="s">
        <v>450</v>
      </c>
      <c r="G535" t="s">
        <v>1825</v>
      </c>
      <c r="H535" t="s">
        <v>2616</v>
      </c>
      <c r="J535" t="s">
        <v>4235</v>
      </c>
      <c r="K535">
        <v>11421</v>
      </c>
      <c r="L535" t="s">
        <v>4275</v>
      </c>
      <c r="M535" t="s">
        <v>4275</v>
      </c>
      <c r="N535" t="s">
        <v>4279</v>
      </c>
      <c r="O535" t="s">
        <v>4283</v>
      </c>
      <c r="P535" t="s">
        <v>4799</v>
      </c>
      <c r="Q535" t="s">
        <v>5731</v>
      </c>
      <c r="R535" t="s">
        <v>5751</v>
      </c>
      <c r="T535" t="s">
        <v>4276</v>
      </c>
      <c r="V535" t="s">
        <v>5767</v>
      </c>
      <c r="W535" t="s">
        <v>5772</v>
      </c>
      <c r="X535" t="s">
        <v>218</v>
      </c>
      <c r="Y535">
        <v>1600</v>
      </c>
      <c r="Z535" t="s">
        <v>5803</v>
      </c>
      <c r="AA535" t="s">
        <v>5804</v>
      </c>
      <c r="AC535" t="s">
        <v>6339</v>
      </c>
      <c r="AD535" t="s">
        <v>7503</v>
      </c>
      <c r="AE535" t="s">
        <v>8341</v>
      </c>
      <c r="AF535">
        <v>2</v>
      </c>
      <c r="AG535" t="s">
        <v>9269</v>
      </c>
      <c r="AH535" t="s">
        <v>4280</v>
      </c>
      <c r="AI535">
        <v>1</v>
      </c>
      <c r="AJ535">
        <v>2</v>
      </c>
      <c r="AK535">
        <v>1</v>
      </c>
      <c r="AL535">
        <v>46.88</v>
      </c>
      <c r="AO535" t="s">
        <v>1425</v>
      </c>
      <c r="AP535">
        <v>10000</v>
      </c>
      <c r="AR535" t="s">
        <v>9329</v>
      </c>
      <c r="AS535" t="s">
        <v>9343</v>
      </c>
      <c r="AT535" t="s">
        <v>9370</v>
      </c>
      <c r="AU535" t="s">
        <v>9436</v>
      </c>
      <c r="AV535">
        <v>23.6</v>
      </c>
      <c r="AW535" t="s">
        <v>9547</v>
      </c>
    </row>
    <row r="536" spans="1:49">
      <c r="A536" s="1">
        <f>HYPERLINK("https://cms.ls-nyc.org/matter/dynamic-profile/view/1895930","19-1895930")</f>
        <v>0</v>
      </c>
      <c r="B536" t="s">
        <v>64</v>
      </c>
      <c r="C536" t="s">
        <v>82</v>
      </c>
      <c r="D536" t="s">
        <v>105</v>
      </c>
      <c r="E536" t="s">
        <v>156</v>
      </c>
      <c r="F536" t="s">
        <v>741</v>
      </c>
      <c r="G536" t="s">
        <v>1479</v>
      </c>
      <c r="H536" t="s">
        <v>2993</v>
      </c>
      <c r="I536" t="s">
        <v>3927</v>
      </c>
      <c r="J536" t="s">
        <v>4233</v>
      </c>
      <c r="K536">
        <v>11375</v>
      </c>
      <c r="L536" t="s">
        <v>4275</v>
      </c>
      <c r="M536" t="s">
        <v>4275</v>
      </c>
      <c r="N536" t="s">
        <v>4278</v>
      </c>
      <c r="O536" t="s">
        <v>4283</v>
      </c>
      <c r="P536" t="s">
        <v>4800</v>
      </c>
      <c r="Q536" t="s">
        <v>5732</v>
      </c>
      <c r="R536" t="s">
        <v>5753</v>
      </c>
      <c r="S536" t="s">
        <v>5759</v>
      </c>
      <c r="T536" t="s">
        <v>4276</v>
      </c>
      <c r="V536" t="s">
        <v>5767</v>
      </c>
      <c r="W536" t="s">
        <v>5772</v>
      </c>
      <c r="X536" t="s">
        <v>105</v>
      </c>
      <c r="Y536">
        <v>850</v>
      </c>
      <c r="Z536" t="s">
        <v>5803</v>
      </c>
      <c r="AA536" t="s">
        <v>5804</v>
      </c>
      <c r="AB536" t="s">
        <v>5821</v>
      </c>
      <c r="AC536" t="s">
        <v>6340</v>
      </c>
      <c r="AD536" t="s">
        <v>7504</v>
      </c>
      <c r="AE536" t="s">
        <v>8342</v>
      </c>
      <c r="AF536">
        <v>2</v>
      </c>
      <c r="AG536" t="s">
        <v>9269</v>
      </c>
      <c r="AH536" t="s">
        <v>4280</v>
      </c>
      <c r="AI536">
        <v>-1</v>
      </c>
      <c r="AJ536">
        <v>2</v>
      </c>
      <c r="AK536">
        <v>0</v>
      </c>
      <c r="AL536">
        <v>55.14</v>
      </c>
      <c r="AO536" t="s">
        <v>9302</v>
      </c>
      <c r="AP536">
        <v>9324</v>
      </c>
      <c r="AV536">
        <v>2</v>
      </c>
      <c r="AW536" t="s">
        <v>54</v>
      </c>
    </row>
    <row r="537" spans="1:49">
      <c r="A537" s="1">
        <f>HYPERLINK("https://cms.ls-nyc.org/matter/dynamic-profile/view/1898093","19-1898093")</f>
        <v>0</v>
      </c>
      <c r="B537" t="s">
        <v>64</v>
      </c>
      <c r="C537" t="s">
        <v>83</v>
      </c>
      <c r="D537" t="s">
        <v>208</v>
      </c>
      <c r="F537" t="s">
        <v>753</v>
      </c>
      <c r="G537" t="s">
        <v>1821</v>
      </c>
      <c r="H537" t="s">
        <v>2990</v>
      </c>
      <c r="I537" t="s">
        <v>3934</v>
      </c>
      <c r="J537" t="s">
        <v>4227</v>
      </c>
      <c r="K537">
        <v>11365</v>
      </c>
      <c r="L537" t="s">
        <v>4275</v>
      </c>
      <c r="M537" t="s">
        <v>4275</v>
      </c>
      <c r="O537" t="s">
        <v>4284</v>
      </c>
      <c r="Q537" t="s">
        <v>5744</v>
      </c>
      <c r="R537" t="s">
        <v>5756</v>
      </c>
      <c r="T537" t="s">
        <v>4276</v>
      </c>
      <c r="V537" t="s">
        <v>5768</v>
      </c>
      <c r="W537" t="s">
        <v>5772</v>
      </c>
      <c r="X537" t="s">
        <v>208</v>
      </c>
      <c r="Y537">
        <v>532</v>
      </c>
      <c r="Z537" t="s">
        <v>5803</v>
      </c>
      <c r="AA537" t="s">
        <v>5815</v>
      </c>
      <c r="AC537" t="s">
        <v>6335</v>
      </c>
      <c r="AD537" t="s">
        <v>7499</v>
      </c>
      <c r="AE537" t="s">
        <v>8337</v>
      </c>
      <c r="AF537">
        <v>701</v>
      </c>
      <c r="AG537" t="s">
        <v>9271</v>
      </c>
      <c r="AH537" t="s">
        <v>4280</v>
      </c>
      <c r="AI537">
        <v>13</v>
      </c>
      <c r="AJ537">
        <v>1</v>
      </c>
      <c r="AK537">
        <v>2</v>
      </c>
      <c r="AL537">
        <v>58.17</v>
      </c>
      <c r="AM537" t="s">
        <v>9291</v>
      </c>
      <c r="AN537" t="s">
        <v>9296</v>
      </c>
      <c r="AO537" t="s">
        <v>1425</v>
      </c>
      <c r="AP537">
        <v>12408</v>
      </c>
      <c r="AV537">
        <v>7.8</v>
      </c>
      <c r="AW537" t="s">
        <v>64</v>
      </c>
    </row>
    <row r="538" spans="1:49">
      <c r="A538" s="1">
        <f>HYPERLINK("https://cms.ls-nyc.org/matter/dynamic-profile/view/1885365","18-1885365")</f>
        <v>0</v>
      </c>
      <c r="B538" t="s">
        <v>64</v>
      </c>
      <c r="C538" t="s">
        <v>82</v>
      </c>
      <c r="D538" t="s">
        <v>185</v>
      </c>
      <c r="E538" t="s">
        <v>94</v>
      </c>
      <c r="F538" t="s">
        <v>632</v>
      </c>
      <c r="G538" t="s">
        <v>1698</v>
      </c>
      <c r="H538" t="s">
        <v>2994</v>
      </c>
      <c r="I538" t="s">
        <v>3991</v>
      </c>
      <c r="J538" t="s">
        <v>4222</v>
      </c>
      <c r="K538">
        <v>11434</v>
      </c>
      <c r="L538" t="s">
        <v>4275</v>
      </c>
      <c r="M538" t="s">
        <v>4275</v>
      </c>
      <c r="O538" t="s">
        <v>4281</v>
      </c>
      <c r="P538" t="s">
        <v>4801</v>
      </c>
      <c r="Q538" t="s">
        <v>5731</v>
      </c>
      <c r="R538" t="s">
        <v>5751</v>
      </c>
      <c r="S538" t="s">
        <v>5760</v>
      </c>
      <c r="T538" t="s">
        <v>4276</v>
      </c>
      <c r="V538" t="s">
        <v>5767</v>
      </c>
      <c r="W538" t="s">
        <v>5772</v>
      </c>
      <c r="X538" t="s">
        <v>182</v>
      </c>
      <c r="Y538">
        <v>1000</v>
      </c>
      <c r="Z538" t="s">
        <v>5803</v>
      </c>
      <c r="AA538" t="s">
        <v>5804</v>
      </c>
      <c r="AB538" t="s">
        <v>5820</v>
      </c>
      <c r="AC538" t="s">
        <v>6190</v>
      </c>
      <c r="AD538" t="s">
        <v>4700</v>
      </c>
      <c r="AE538" t="s">
        <v>8196</v>
      </c>
      <c r="AF538">
        <v>104</v>
      </c>
      <c r="AG538" t="s">
        <v>9273</v>
      </c>
      <c r="AH538" t="s">
        <v>4280</v>
      </c>
      <c r="AI538">
        <v>15</v>
      </c>
      <c r="AJ538">
        <v>1</v>
      </c>
      <c r="AK538">
        <v>2</v>
      </c>
      <c r="AL538">
        <v>58.68</v>
      </c>
      <c r="AO538" t="s">
        <v>1425</v>
      </c>
      <c r="AP538">
        <v>12194</v>
      </c>
      <c r="AR538" t="s">
        <v>9329</v>
      </c>
      <c r="AS538" t="s">
        <v>9336</v>
      </c>
      <c r="AT538" t="s">
        <v>9369</v>
      </c>
      <c r="AU538" t="s">
        <v>9474</v>
      </c>
      <c r="AV538">
        <v>41.1</v>
      </c>
      <c r="AW538" t="s">
        <v>54</v>
      </c>
    </row>
    <row r="539" spans="1:49">
      <c r="A539" s="1">
        <f>HYPERLINK("https://cms.ls-nyc.org/matter/dynamic-profile/view/1886925","19-1886925")</f>
        <v>0</v>
      </c>
      <c r="B539" t="s">
        <v>64</v>
      </c>
      <c r="C539" t="s">
        <v>83</v>
      </c>
      <c r="D539" t="s">
        <v>193</v>
      </c>
      <c r="F539" t="s">
        <v>756</v>
      </c>
      <c r="G539" t="s">
        <v>1385</v>
      </c>
      <c r="H539" t="s">
        <v>2995</v>
      </c>
      <c r="I539" t="s">
        <v>4027</v>
      </c>
      <c r="J539" t="s">
        <v>4255</v>
      </c>
      <c r="K539">
        <v>11372</v>
      </c>
      <c r="L539" t="s">
        <v>4275</v>
      </c>
      <c r="M539" t="s">
        <v>4275</v>
      </c>
      <c r="O539" t="s">
        <v>4282</v>
      </c>
      <c r="P539" t="s">
        <v>4802</v>
      </c>
      <c r="Q539" t="s">
        <v>5732</v>
      </c>
      <c r="R539" t="s">
        <v>5751</v>
      </c>
      <c r="T539" t="s">
        <v>4276</v>
      </c>
      <c r="V539" t="s">
        <v>5767</v>
      </c>
      <c r="W539" t="s">
        <v>5772</v>
      </c>
      <c r="X539" t="s">
        <v>193</v>
      </c>
      <c r="Y539">
        <v>909.0599999999999</v>
      </c>
      <c r="Z539" t="s">
        <v>5803</v>
      </c>
      <c r="AA539" t="s">
        <v>5804</v>
      </c>
      <c r="AC539" t="s">
        <v>6341</v>
      </c>
      <c r="AD539" t="s">
        <v>7505</v>
      </c>
      <c r="AE539" t="s">
        <v>8343</v>
      </c>
      <c r="AF539">
        <v>20</v>
      </c>
      <c r="AG539" t="s">
        <v>9272</v>
      </c>
      <c r="AH539" t="s">
        <v>4280</v>
      </c>
      <c r="AI539">
        <v>38</v>
      </c>
      <c r="AJ539">
        <v>4</v>
      </c>
      <c r="AK539">
        <v>2</v>
      </c>
      <c r="AL539">
        <v>61.19</v>
      </c>
      <c r="AO539" t="s">
        <v>9298</v>
      </c>
      <c r="AP539">
        <v>20644</v>
      </c>
      <c r="AV539">
        <v>60.25</v>
      </c>
      <c r="AW539" t="s">
        <v>54</v>
      </c>
    </row>
    <row r="540" spans="1:49">
      <c r="A540" s="1">
        <f>HYPERLINK("https://cms.ls-nyc.org/matter/dynamic-profile/view/1879964","18-1879964")</f>
        <v>0</v>
      </c>
      <c r="B540" t="s">
        <v>64</v>
      </c>
      <c r="C540" t="s">
        <v>83</v>
      </c>
      <c r="D540" t="s">
        <v>92</v>
      </c>
      <c r="F540" t="s">
        <v>757</v>
      </c>
      <c r="G540" t="s">
        <v>1826</v>
      </c>
      <c r="H540" t="s">
        <v>2996</v>
      </c>
      <c r="I540" t="s">
        <v>3955</v>
      </c>
      <c r="J540" t="s">
        <v>4222</v>
      </c>
      <c r="K540">
        <v>11434</v>
      </c>
      <c r="L540" t="s">
        <v>4275</v>
      </c>
      <c r="M540" t="s">
        <v>4275</v>
      </c>
      <c r="O540" t="s">
        <v>4281</v>
      </c>
      <c r="P540" t="s">
        <v>4803</v>
      </c>
      <c r="Q540" t="s">
        <v>5731</v>
      </c>
      <c r="R540" t="s">
        <v>5753</v>
      </c>
      <c r="T540" t="s">
        <v>4276</v>
      </c>
      <c r="V540" t="s">
        <v>5767</v>
      </c>
      <c r="W540" t="s">
        <v>5772</v>
      </c>
      <c r="X540" t="s">
        <v>92</v>
      </c>
      <c r="Y540">
        <v>749</v>
      </c>
      <c r="Z540" t="s">
        <v>5803</v>
      </c>
      <c r="AA540" t="s">
        <v>5804</v>
      </c>
      <c r="AC540" t="s">
        <v>6342</v>
      </c>
      <c r="AE540" t="s">
        <v>8344</v>
      </c>
      <c r="AF540">
        <v>293</v>
      </c>
      <c r="AG540" t="s">
        <v>9273</v>
      </c>
      <c r="AH540" t="s">
        <v>4280</v>
      </c>
      <c r="AI540">
        <v>14</v>
      </c>
      <c r="AJ540">
        <v>1</v>
      </c>
      <c r="AK540">
        <v>1</v>
      </c>
      <c r="AL540">
        <v>64.45</v>
      </c>
      <c r="AO540" t="s">
        <v>1425</v>
      </c>
      <c r="AP540">
        <v>10608</v>
      </c>
      <c r="AV540">
        <v>9.550000000000001</v>
      </c>
      <c r="AW540" t="s">
        <v>73</v>
      </c>
    </row>
    <row r="541" spans="1:49">
      <c r="A541" s="1">
        <f>HYPERLINK("https://cms.ls-nyc.org/matter/dynamic-profile/view/1886344","18-1886344")</f>
        <v>0</v>
      </c>
      <c r="B541" t="s">
        <v>64</v>
      </c>
      <c r="C541" t="s">
        <v>83</v>
      </c>
      <c r="D541" t="s">
        <v>235</v>
      </c>
      <c r="F541" t="s">
        <v>320</v>
      </c>
      <c r="G541" t="s">
        <v>1607</v>
      </c>
      <c r="H541" t="s">
        <v>2997</v>
      </c>
      <c r="I541" t="s">
        <v>3847</v>
      </c>
      <c r="J541" t="s">
        <v>4222</v>
      </c>
      <c r="K541">
        <v>11433</v>
      </c>
      <c r="L541" t="s">
        <v>4275</v>
      </c>
      <c r="M541" t="s">
        <v>4275</v>
      </c>
      <c r="O541" t="s">
        <v>4281</v>
      </c>
      <c r="P541" t="s">
        <v>4804</v>
      </c>
      <c r="Q541" t="s">
        <v>5731</v>
      </c>
      <c r="R541" t="s">
        <v>5751</v>
      </c>
      <c r="T541" t="s">
        <v>4276</v>
      </c>
      <c r="V541" t="s">
        <v>5768</v>
      </c>
      <c r="W541" t="s">
        <v>5772</v>
      </c>
      <c r="X541" t="s">
        <v>235</v>
      </c>
      <c r="Y541">
        <v>224</v>
      </c>
      <c r="Z541" t="s">
        <v>5803</v>
      </c>
      <c r="AA541" t="s">
        <v>5804</v>
      </c>
      <c r="AC541" t="s">
        <v>6343</v>
      </c>
      <c r="AD541" t="s">
        <v>7506</v>
      </c>
      <c r="AE541" t="s">
        <v>8345</v>
      </c>
      <c r="AF541">
        <v>38</v>
      </c>
      <c r="AG541" t="s">
        <v>9271</v>
      </c>
      <c r="AH541" t="s">
        <v>5806</v>
      </c>
      <c r="AI541">
        <v>15</v>
      </c>
      <c r="AJ541">
        <v>2</v>
      </c>
      <c r="AK541">
        <v>1</v>
      </c>
      <c r="AL541">
        <v>69.3</v>
      </c>
      <c r="AO541" t="s">
        <v>1425</v>
      </c>
      <c r="AP541">
        <v>14400</v>
      </c>
      <c r="AV541">
        <v>11.4</v>
      </c>
      <c r="AW541" t="s">
        <v>54</v>
      </c>
    </row>
    <row r="542" spans="1:49">
      <c r="A542" s="1">
        <f>HYPERLINK("https://cms.ls-nyc.org/matter/dynamic-profile/view/1890091","19-1890091")</f>
        <v>0</v>
      </c>
      <c r="B542" t="s">
        <v>64</v>
      </c>
      <c r="C542" t="s">
        <v>83</v>
      </c>
      <c r="D542" t="s">
        <v>236</v>
      </c>
      <c r="F542" t="s">
        <v>634</v>
      </c>
      <c r="G542" t="s">
        <v>1515</v>
      </c>
      <c r="H542" t="s">
        <v>2998</v>
      </c>
      <c r="I542" t="s">
        <v>3864</v>
      </c>
      <c r="J542" t="s">
        <v>4222</v>
      </c>
      <c r="K542">
        <v>11434</v>
      </c>
      <c r="L542" t="s">
        <v>4275</v>
      </c>
      <c r="M542" t="s">
        <v>4275</v>
      </c>
      <c r="N542" t="s">
        <v>4278</v>
      </c>
      <c r="O542" t="s">
        <v>4281</v>
      </c>
      <c r="P542" t="s">
        <v>4805</v>
      </c>
      <c r="Q542" t="s">
        <v>5731</v>
      </c>
      <c r="R542" t="s">
        <v>5751</v>
      </c>
      <c r="T542" t="s">
        <v>4276</v>
      </c>
      <c r="V542" t="s">
        <v>5767</v>
      </c>
      <c r="W542" t="s">
        <v>5772</v>
      </c>
      <c r="X542" t="s">
        <v>167</v>
      </c>
      <c r="Y542">
        <v>950</v>
      </c>
      <c r="Z542" t="s">
        <v>5803</v>
      </c>
      <c r="AA542" t="s">
        <v>5805</v>
      </c>
      <c r="AC542" t="s">
        <v>6344</v>
      </c>
      <c r="AD542" t="s">
        <v>7507</v>
      </c>
      <c r="AE542" t="s">
        <v>8346</v>
      </c>
      <c r="AF542">
        <v>2</v>
      </c>
      <c r="AG542" t="s">
        <v>9277</v>
      </c>
      <c r="AH542" t="s">
        <v>4280</v>
      </c>
      <c r="AI542">
        <v>6</v>
      </c>
      <c r="AJ542">
        <v>2</v>
      </c>
      <c r="AK542">
        <v>1</v>
      </c>
      <c r="AL542">
        <v>73.14</v>
      </c>
      <c r="AO542" t="s">
        <v>1425</v>
      </c>
      <c r="AP542">
        <v>15600</v>
      </c>
      <c r="AR542" t="s">
        <v>9327</v>
      </c>
      <c r="AS542" t="s">
        <v>9343</v>
      </c>
      <c r="AT542" t="s">
        <v>9370</v>
      </c>
      <c r="AU542" t="s">
        <v>9417</v>
      </c>
      <c r="AV542">
        <v>17.4</v>
      </c>
      <c r="AW542" t="s">
        <v>54</v>
      </c>
    </row>
    <row r="543" spans="1:49">
      <c r="A543" s="1">
        <f>HYPERLINK("https://cms.ls-nyc.org/matter/dynamic-profile/view/1894508","19-1894508")</f>
        <v>0</v>
      </c>
      <c r="B543" t="s">
        <v>64</v>
      </c>
      <c r="C543" t="s">
        <v>82</v>
      </c>
      <c r="D543" t="s">
        <v>169</v>
      </c>
      <c r="E543" t="s">
        <v>164</v>
      </c>
      <c r="F543" t="s">
        <v>758</v>
      </c>
      <c r="G543" t="s">
        <v>1827</v>
      </c>
      <c r="H543" t="s">
        <v>2999</v>
      </c>
      <c r="I543" t="s">
        <v>3867</v>
      </c>
      <c r="J543" t="s">
        <v>4228</v>
      </c>
      <c r="K543">
        <v>11362</v>
      </c>
      <c r="L543" t="s">
        <v>4275</v>
      </c>
      <c r="M543" t="s">
        <v>4275</v>
      </c>
      <c r="N543" t="s">
        <v>4278</v>
      </c>
      <c r="O543" t="s">
        <v>4282</v>
      </c>
      <c r="P543" t="s">
        <v>4806</v>
      </c>
      <c r="Q543" t="s">
        <v>5732</v>
      </c>
      <c r="R543" t="s">
        <v>5753</v>
      </c>
      <c r="S543" t="s">
        <v>5759</v>
      </c>
      <c r="T543" t="s">
        <v>4276</v>
      </c>
      <c r="V543" t="s">
        <v>5767</v>
      </c>
      <c r="W543" t="s">
        <v>5772</v>
      </c>
      <c r="X543" t="s">
        <v>169</v>
      </c>
      <c r="Y543">
        <v>1225</v>
      </c>
      <c r="Z543" t="s">
        <v>5803</v>
      </c>
      <c r="AA543" t="s">
        <v>5804</v>
      </c>
      <c r="AB543" t="s">
        <v>5821</v>
      </c>
      <c r="AC543" t="s">
        <v>6345</v>
      </c>
      <c r="AD543" t="s">
        <v>7289</v>
      </c>
      <c r="AE543" t="s">
        <v>8347</v>
      </c>
      <c r="AF543">
        <v>2</v>
      </c>
      <c r="AG543" t="s">
        <v>9269</v>
      </c>
      <c r="AH543" t="s">
        <v>4280</v>
      </c>
      <c r="AI543">
        <v>25</v>
      </c>
      <c r="AJ543">
        <v>1</v>
      </c>
      <c r="AK543">
        <v>0</v>
      </c>
      <c r="AL543">
        <v>74.08</v>
      </c>
      <c r="AO543" t="s">
        <v>1425</v>
      </c>
      <c r="AP543">
        <v>9252</v>
      </c>
      <c r="AV543">
        <v>2</v>
      </c>
      <c r="AW543" t="s">
        <v>54</v>
      </c>
    </row>
    <row r="544" spans="1:49">
      <c r="A544" s="1">
        <f>HYPERLINK("https://cms.ls-nyc.org/matter/dynamic-profile/view/1884744","18-1884744")</f>
        <v>0</v>
      </c>
      <c r="B544" t="s">
        <v>64</v>
      </c>
      <c r="C544" t="s">
        <v>82</v>
      </c>
      <c r="D544" t="s">
        <v>174</v>
      </c>
      <c r="E544" t="s">
        <v>284</v>
      </c>
      <c r="F544" t="s">
        <v>759</v>
      </c>
      <c r="G544" t="s">
        <v>1828</v>
      </c>
      <c r="H544" t="s">
        <v>3000</v>
      </c>
      <c r="I544" t="s">
        <v>3923</v>
      </c>
      <c r="J544" t="s">
        <v>4255</v>
      </c>
      <c r="K544">
        <v>11372</v>
      </c>
      <c r="L544" t="s">
        <v>4275</v>
      </c>
      <c r="M544" t="s">
        <v>4275</v>
      </c>
      <c r="O544" t="s">
        <v>4282</v>
      </c>
      <c r="P544" t="s">
        <v>4807</v>
      </c>
      <c r="Q544" t="s">
        <v>5731</v>
      </c>
      <c r="R544" t="s">
        <v>5753</v>
      </c>
      <c r="S544" t="s">
        <v>5759</v>
      </c>
      <c r="T544" t="s">
        <v>4276</v>
      </c>
      <c r="V544" t="s">
        <v>5767</v>
      </c>
      <c r="W544" t="s">
        <v>5773</v>
      </c>
      <c r="X544" t="s">
        <v>174</v>
      </c>
      <c r="Y544">
        <v>1113</v>
      </c>
      <c r="Z544" t="s">
        <v>5803</v>
      </c>
      <c r="AA544" t="s">
        <v>5804</v>
      </c>
      <c r="AB544" t="s">
        <v>5820</v>
      </c>
      <c r="AC544" t="s">
        <v>6346</v>
      </c>
      <c r="AD544" t="s">
        <v>7508</v>
      </c>
      <c r="AE544" t="s">
        <v>8348</v>
      </c>
      <c r="AF544">
        <v>6</v>
      </c>
      <c r="AG544" t="s">
        <v>9272</v>
      </c>
      <c r="AH544" t="s">
        <v>4280</v>
      </c>
      <c r="AI544">
        <v>15</v>
      </c>
      <c r="AJ544">
        <v>3</v>
      </c>
      <c r="AK544">
        <v>0</v>
      </c>
      <c r="AL544">
        <v>74.67</v>
      </c>
      <c r="AO544" t="s">
        <v>1425</v>
      </c>
      <c r="AP544">
        <v>15516</v>
      </c>
      <c r="AV544">
        <v>2.77</v>
      </c>
      <c r="AW544" t="s">
        <v>74</v>
      </c>
    </row>
    <row r="545" spans="1:49">
      <c r="A545" s="1">
        <f>HYPERLINK("https://cms.ls-nyc.org/matter/dynamic-profile/view/1897501","19-1897501")</f>
        <v>0</v>
      </c>
      <c r="B545" t="s">
        <v>64</v>
      </c>
      <c r="C545" t="s">
        <v>83</v>
      </c>
      <c r="D545" t="s">
        <v>237</v>
      </c>
      <c r="F545" t="s">
        <v>415</v>
      </c>
      <c r="G545" t="s">
        <v>1829</v>
      </c>
      <c r="H545" t="s">
        <v>3001</v>
      </c>
      <c r="I545" t="s">
        <v>3870</v>
      </c>
      <c r="J545" t="s">
        <v>4234</v>
      </c>
      <c r="K545">
        <v>11102</v>
      </c>
      <c r="L545" t="s">
        <v>4275</v>
      </c>
      <c r="M545" t="s">
        <v>4275</v>
      </c>
      <c r="N545" t="s">
        <v>4278</v>
      </c>
      <c r="O545" t="s">
        <v>4283</v>
      </c>
      <c r="P545" t="s">
        <v>4808</v>
      </c>
      <c r="Q545" t="s">
        <v>5735</v>
      </c>
      <c r="R545" t="s">
        <v>5754</v>
      </c>
      <c r="T545" t="s">
        <v>4276</v>
      </c>
      <c r="V545" t="s">
        <v>5767</v>
      </c>
      <c r="X545" t="s">
        <v>237</v>
      </c>
      <c r="Y545">
        <v>1048.94</v>
      </c>
      <c r="Z545" t="s">
        <v>5803</v>
      </c>
      <c r="AA545" t="s">
        <v>5810</v>
      </c>
      <c r="AC545" t="s">
        <v>6347</v>
      </c>
      <c r="AE545" t="s">
        <v>8349</v>
      </c>
      <c r="AF545">
        <v>6</v>
      </c>
      <c r="AG545" t="s">
        <v>9272</v>
      </c>
      <c r="AH545" t="s">
        <v>9287</v>
      </c>
      <c r="AI545">
        <v>30</v>
      </c>
      <c r="AJ545">
        <v>1</v>
      </c>
      <c r="AK545">
        <v>0</v>
      </c>
      <c r="AL545">
        <v>75.31999999999999</v>
      </c>
      <c r="AO545" t="s">
        <v>1425</v>
      </c>
      <c r="AP545">
        <v>9408</v>
      </c>
      <c r="AV545">
        <v>1.5</v>
      </c>
      <c r="AW545" t="s">
        <v>52</v>
      </c>
    </row>
    <row r="546" spans="1:49">
      <c r="A546" s="1">
        <f>HYPERLINK("https://cms.ls-nyc.org/matter/dynamic-profile/view/1886625","18-1886625")</f>
        <v>0</v>
      </c>
      <c r="B546" t="s">
        <v>64</v>
      </c>
      <c r="C546" t="s">
        <v>82</v>
      </c>
      <c r="D546" t="s">
        <v>189</v>
      </c>
      <c r="E546" t="s">
        <v>284</v>
      </c>
      <c r="F546" t="s">
        <v>760</v>
      </c>
      <c r="G546" t="s">
        <v>1830</v>
      </c>
      <c r="H546" t="s">
        <v>3002</v>
      </c>
      <c r="I546" t="s">
        <v>3878</v>
      </c>
      <c r="J546" t="s">
        <v>4236</v>
      </c>
      <c r="K546">
        <v>11417</v>
      </c>
      <c r="L546" t="s">
        <v>4275</v>
      </c>
      <c r="M546" t="s">
        <v>4275</v>
      </c>
      <c r="O546" t="s">
        <v>4282</v>
      </c>
      <c r="P546" t="s">
        <v>4809</v>
      </c>
      <c r="Q546" t="s">
        <v>5732</v>
      </c>
      <c r="R546" t="s">
        <v>5753</v>
      </c>
      <c r="S546" t="s">
        <v>5759</v>
      </c>
      <c r="T546" t="s">
        <v>4276</v>
      </c>
      <c r="V546" t="s">
        <v>5767</v>
      </c>
      <c r="W546" t="s">
        <v>5772</v>
      </c>
      <c r="X546" t="s">
        <v>189</v>
      </c>
      <c r="Y546">
        <v>0</v>
      </c>
      <c r="Z546" t="s">
        <v>5803</v>
      </c>
      <c r="AA546" t="s">
        <v>5804</v>
      </c>
      <c r="AB546" t="s">
        <v>5821</v>
      </c>
      <c r="AC546" t="s">
        <v>6348</v>
      </c>
      <c r="AD546" t="s">
        <v>7509</v>
      </c>
      <c r="AE546" t="s">
        <v>8350</v>
      </c>
      <c r="AF546">
        <v>24</v>
      </c>
      <c r="AG546" t="s">
        <v>9269</v>
      </c>
      <c r="AH546" t="s">
        <v>4280</v>
      </c>
      <c r="AI546">
        <v>22</v>
      </c>
      <c r="AJ546">
        <v>1</v>
      </c>
      <c r="AK546">
        <v>0</v>
      </c>
      <c r="AL546">
        <v>76.51000000000001</v>
      </c>
      <c r="AO546" t="s">
        <v>9298</v>
      </c>
      <c r="AP546">
        <v>9288</v>
      </c>
      <c r="AV546">
        <v>1.5</v>
      </c>
      <c r="AW546" t="s">
        <v>64</v>
      </c>
    </row>
    <row r="547" spans="1:49">
      <c r="A547" s="1">
        <f>HYPERLINK("https://cms.ls-nyc.org/matter/dynamic-profile/view/1900646","19-1900646")</f>
        <v>0</v>
      </c>
      <c r="B547" t="s">
        <v>64</v>
      </c>
      <c r="C547" t="s">
        <v>83</v>
      </c>
      <c r="D547" t="s">
        <v>87</v>
      </c>
      <c r="F547" t="s">
        <v>761</v>
      </c>
      <c r="G547" t="s">
        <v>1831</v>
      </c>
      <c r="H547" t="s">
        <v>3003</v>
      </c>
      <c r="I547" t="s">
        <v>4028</v>
      </c>
      <c r="J547" t="s">
        <v>4230</v>
      </c>
      <c r="K547">
        <v>11101</v>
      </c>
      <c r="L547" t="s">
        <v>4275</v>
      </c>
      <c r="M547" t="s">
        <v>4277</v>
      </c>
      <c r="N547" t="s">
        <v>4278</v>
      </c>
      <c r="O547" t="s">
        <v>4283</v>
      </c>
      <c r="P547" t="s">
        <v>4810</v>
      </c>
      <c r="Q547" t="s">
        <v>5731</v>
      </c>
      <c r="R547" t="s">
        <v>5751</v>
      </c>
      <c r="T547" t="s">
        <v>4275</v>
      </c>
      <c r="V547" t="s">
        <v>5767</v>
      </c>
      <c r="W547" t="s">
        <v>5772</v>
      </c>
      <c r="X547" t="s">
        <v>87</v>
      </c>
      <c r="Y547">
        <v>1268</v>
      </c>
      <c r="Z547" t="s">
        <v>5803</v>
      </c>
      <c r="AA547" t="s">
        <v>5804</v>
      </c>
      <c r="AC547" t="s">
        <v>6349</v>
      </c>
      <c r="AE547" t="s">
        <v>8351</v>
      </c>
      <c r="AF547">
        <v>200</v>
      </c>
      <c r="AG547" t="s">
        <v>9272</v>
      </c>
      <c r="AH547" t="s">
        <v>9284</v>
      </c>
      <c r="AI547">
        <v>2</v>
      </c>
      <c r="AJ547">
        <v>1</v>
      </c>
      <c r="AK547">
        <v>0</v>
      </c>
      <c r="AL547">
        <v>76.86</v>
      </c>
      <c r="AO547" t="s">
        <v>9298</v>
      </c>
      <c r="AP547">
        <v>9600</v>
      </c>
      <c r="AV547">
        <v>2.1</v>
      </c>
      <c r="AW547" t="s">
        <v>9547</v>
      </c>
    </row>
    <row r="548" spans="1:49">
      <c r="A548" s="1">
        <f>HYPERLINK("https://cms.ls-nyc.org/matter/dynamic-profile/view/1883655","18-1883655")</f>
        <v>0</v>
      </c>
      <c r="B548" t="s">
        <v>64</v>
      </c>
      <c r="C548" t="s">
        <v>82</v>
      </c>
      <c r="D548" t="s">
        <v>186</v>
      </c>
      <c r="E548" t="s">
        <v>164</v>
      </c>
      <c r="F548" t="s">
        <v>550</v>
      </c>
      <c r="G548" t="s">
        <v>1832</v>
      </c>
      <c r="H548" t="s">
        <v>3004</v>
      </c>
      <c r="I548" t="s">
        <v>3880</v>
      </c>
      <c r="J548" t="s">
        <v>4227</v>
      </c>
      <c r="K548">
        <v>11365</v>
      </c>
      <c r="L548" t="s">
        <v>4275</v>
      </c>
      <c r="M548" t="s">
        <v>4275</v>
      </c>
      <c r="N548" t="s">
        <v>4278</v>
      </c>
      <c r="O548" t="s">
        <v>4282</v>
      </c>
      <c r="P548" t="s">
        <v>4811</v>
      </c>
      <c r="Q548" t="s">
        <v>5732</v>
      </c>
      <c r="R548" t="s">
        <v>5753</v>
      </c>
      <c r="S548" t="s">
        <v>5759</v>
      </c>
      <c r="T548" t="s">
        <v>4276</v>
      </c>
      <c r="V548" t="s">
        <v>5767</v>
      </c>
      <c r="W548" t="s">
        <v>5773</v>
      </c>
      <c r="X548" t="s">
        <v>186</v>
      </c>
      <c r="Y548">
        <v>1112.48</v>
      </c>
      <c r="Z548" t="s">
        <v>5803</v>
      </c>
      <c r="AA548" t="s">
        <v>5804</v>
      </c>
      <c r="AB548" t="s">
        <v>5821</v>
      </c>
      <c r="AC548" t="s">
        <v>6350</v>
      </c>
      <c r="AD548" t="s">
        <v>7289</v>
      </c>
      <c r="AE548" t="s">
        <v>8352</v>
      </c>
      <c r="AF548">
        <v>72</v>
      </c>
      <c r="AG548" t="s">
        <v>9275</v>
      </c>
      <c r="AH548" t="s">
        <v>4280</v>
      </c>
      <c r="AI548">
        <v>11</v>
      </c>
      <c r="AJ548">
        <v>4</v>
      </c>
      <c r="AK548">
        <v>0</v>
      </c>
      <c r="AL548">
        <v>77.45</v>
      </c>
      <c r="AO548" t="s">
        <v>1425</v>
      </c>
      <c r="AP548">
        <v>19440</v>
      </c>
      <c r="AV548">
        <v>1.77</v>
      </c>
      <c r="AW548" t="s">
        <v>73</v>
      </c>
    </row>
    <row r="549" spans="1:49">
      <c r="A549" s="1">
        <f>HYPERLINK("https://cms.ls-nyc.org/matter/dynamic-profile/view/1890839","19-1890839")</f>
        <v>0</v>
      </c>
      <c r="B549" t="s">
        <v>64</v>
      </c>
      <c r="C549" t="s">
        <v>82</v>
      </c>
      <c r="D549" t="s">
        <v>98</v>
      </c>
      <c r="E549" t="s">
        <v>164</v>
      </c>
      <c r="F549" t="s">
        <v>471</v>
      </c>
      <c r="G549" t="s">
        <v>1833</v>
      </c>
      <c r="H549" t="s">
        <v>3005</v>
      </c>
      <c r="I549" t="s">
        <v>3940</v>
      </c>
      <c r="J549" t="s">
        <v>4258</v>
      </c>
      <c r="K549">
        <v>11370</v>
      </c>
      <c r="L549" t="s">
        <v>4275</v>
      </c>
      <c r="M549" t="s">
        <v>4275</v>
      </c>
      <c r="N549" t="s">
        <v>4278</v>
      </c>
      <c r="O549" t="s">
        <v>4282</v>
      </c>
      <c r="P549" t="s">
        <v>4812</v>
      </c>
      <c r="Q549" t="s">
        <v>5732</v>
      </c>
      <c r="R549" t="s">
        <v>5753</v>
      </c>
      <c r="S549" t="s">
        <v>5759</v>
      </c>
      <c r="T549" t="s">
        <v>4276</v>
      </c>
      <c r="V549" t="s">
        <v>5767</v>
      </c>
      <c r="W549" t="s">
        <v>5772</v>
      </c>
      <c r="X549" t="s">
        <v>98</v>
      </c>
      <c r="Y549">
        <v>2100</v>
      </c>
      <c r="Z549" t="s">
        <v>5803</v>
      </c>
      <c r="AA549" t="s">
        <v>5804</v>
      </c>
      <c r="AB549" t="s">
        <v>5821</v>
      </c>
      <c r="AC549" t="s">
        <v>6351</v>
      </c>
      <c r="AD549" t="s">
        <v>7510</v>
      </c>
      <c r="AE549" t="s">
        <v>8353</v>
      </c>
      <c r="AF549">
        <v>3</v>
      </c>
      <c r="AG549" t="s">
        <v>9269</v>
      </c>
      <c r="AH549" t="s">
        <v>4280</v>
      </c>
      <c r="AI549">
        <v>4</v>
      </c>
      <c r="AJ549">
        <v>2</v>
      </c>
      <c r="AK549">
        <v>2</v>
      </c>
      <c r="AL549">
        <v>77.67</v>
      </c>
      <c r="AO549" t="s">
        <v>1425</v>
      </c>
      <c r="AP549">
        <v>20000</v>
      </c>
      <c r="AV549">
        <v>1.5</v>
      </c>
      <c r="AW549" t="s">
        <v>73</v>
      </c>
    </row>
    <row r="550" spans="1:49">
      <c r="A550" s="1">
        <f>HYPERLINK("https://cms.ls-nyc.org/matter/dynamic-profile/view/1888367","19-1888367")</f>
        <v>0</v>
      </c>
      <c r="B550" t="s">
        <v>64</v>
      </c>
      <c r="C550" t="s">
        <v>82</v>
      </c>
      <c r="D550" t="s">
        <v>135</v>
      </c>
      <c r="E550" t="s">
        <v>239</v>
      </c>
      <c r="F550" t="s">
        <v>376</v>
      </c>
      <c r="G550" t="s">
        <v>1693</v>
      </c>
      <c r="H550" t="s">
        <v>2839</v>
      </c>
      <c r="I550" t="s">
        <v>3987</v>
      </c>
      <c r="J550" t="s">
        <v>4241</v>
      </c>
      <c r="K550">
        <v>11368</v>
      </c>
      <c r="L550" t="s">
        <v>4275</v>
      </c>
      <c r="M550" t="s">
        <v>4275</v>
      </c>
      <c r="O550" t="s">
        <v>4282</v>
      </c>
      <c r="P550" t="s">
        <v>4813</v>
      </c>
      <c r="Q550" t="s">
        <v>5734</v>
      </c>
      <c r="R550" t="s">
        <v>5753</v>
      </c>
      <c r="S550" t="s">
        <v>5759</v>
      </c>
      <c r="T550" t="s">
        <v>4276</v>
      </c>
      <c r="V550" t="s">
        <v>5767</v>
      </c>
      <c r="W550" t="s">
        <v>5773</v>
      </c>
      <c r="X550" t="s">
        <v>135</v>
      </c>
      <c r="Y550">
        <v>600</v>
      </c>
      <c r="Z550" t="s">
        <v>5803</v>
      </c>
      <c r="AA550" t="s">
        <v>5804</v>
      </c>
      <c r="AB550" t="s">
        <v>5821</v>
      </c>
      <c r="AC550" t="s">
        <v>6184</v>
      </c>
      <c r="AE550" t="s">
        <v>8190</v>
      </c>
      <c r="AF550">
        <v>3</v>
      </c>
      <c r="AG550" t="s">
        <v>9269</v>
      </c>
      <c r="AH550" t="s">
        <v>4280</v>
      </c>
      <c r="AI550">
        <v>8</v>
      </c>
      <c r="AJ550">
        <v>1</v>
      </c>
      <c r="AK550">
        <v>0</v>
      </c>
      <c r="AL550">
        <v>79.08</v>
      </c>
      <c r="AO550" t="s">
        <v>9298</v>
      </c>
      <c r="AP550">
        <v>9600</v>
      </c>
      <c r="AV550">
        <v>0.5</v>
      </c>
      <c r="AW550" t="s">
        <v>73</v>
      </c>
    </row>
    <row r="551" spans="1:49">
      <c r="A551" s="1">
        <f>HYPERLINK("https://cms.ls-nyc.org/matter/dynamic-profile/view/1882027","18-1882027")</f>
        <v>0</v>
      </c>
      <c r="B551" t="s">
        <v>64</v>
      </c>
      <c r="C551" t="s">
        <v>82</v>
      </c>
      <c r="D551" t="s">
        <v>201</v>
      </c>
      <c r="E551" t="s">
        <v>149</v>
      </c>
      <c r="F551" t="s">
        <v>762</v>
      </c>
      <c r="G551" t="s">
        <v>1834</v>
      </c>
      <c r="H551" t="s">
        <v>3006</v>
      </c>
      <c r="I551" t="s">
        <v>3864</v>
      </c>
      <c r="J551" t="s">
        <v>4246</v>
      </c>
      <c r="K551">
        <v>11694</v>
      </c>
      <c r="L551" t="s">
        <v>4275</v>
      </c>
      <c r="M551" t="s">
        <v>4275</v>
      </c>
      <c r="O551" t="s">
        <v>4282</v>
      </c>
      <c r="P551" t="s">
        <v>4814</v>
      </c>
      <c r="Q551" t="s">
        <v>5732</v>
      </c>
      <c r="R551" t="s">
        <v>5753</v>
      </c>
      <c r="S551" t="s">
        <v>5759</v>
      </c>
      <c r="T551" t="s">
        <v>4276</v>
      </c>
      <c r="V551" t="s">
        <v>5767</v>
      </c>
      <c r="W551" t="s">
        <v>5772</v>
      </c>
      <c r="X551" t="s">
        <v>145</v>
      </c>
      <c r="Y551">
        <v>500</v>
      </c>
      <c r="Z551" t="s">
        <v>5803</v>
      </c>
      <c r="AA551" t="s">
        <v>5804</v>
      </c>
      <c r="AB551" t="s">
        <v>5821</v>
      </c>
      <c r="AC551" t="s">
        <v>6352</v>
      </c>
      <c r="AE551" t="s">
        <v>8354</v>
      </c>
      <c r="AF551">
        <v>19</v>
      </c>
      <c r="AG551" t="s">
        <v>9272</v>
      </c>
      <c r="AH551" t="s">
        <v>4280</v>
      </c>
      <c r="AI551">
        <v>1</v>
      </c>
      <c r="AJ551">
        <v>1</v>
      </c>
      <c r="AK551">
        <v>0</v>
      </c>
      <c r="AL551">
        <v>84.02</v>
      </c>
      <c r="AO551" t="s">
        <v>1425</v>
      </c>
      <c r="AP551">
        <v>10200</v>
      </c>
      <c r="AV551">
        <v>4.25</v>
      </c>
      <c r="AW551" t="s">
        <v>73</v>
      </c>
    </row>
    <row r="552" spans="1:49">
      <c r="A552" s="1">
        <f>HYPERLINK("https://cms.ls-nyc.org/matter/dynamic-profile/view/1892164","19-1892164")</f>
        <v>0</v>
      </c>
      <c r="B552" t="s">
        <v>64</v>
      </c>
      <c r="C552" t="s">
        <v>83</v>
      </c>
      <c r="D552" t="s">
        <v>89</v>
      </c>
      <c r="F552" t="s">
        <v>763</v>
      </c>
      <c r="G552" t="s">
        <v>1588</v>
      </c>
      <c r="H552" t="s">
        <v>3007</v>
      </c>
      <c r="I552" t="s">
        <v>3996</v>
      </c>
      <c r="J552" t="s">
        <v>4222</v>
      </c>
      <c r="K552">
        <v>11433</v>
      </c>
      <c r="L552" t="s">
        <v>4275</v>
      </c>
      <c r="M552" t="s">
        <v>4275</v>
      </c>
      <c r="N552" t="s">
        <v>4278</v>
      </c>
      <c r="O552" t="s">
        <v>4281</v>
      </c>
      <c r="P552" t="s">
        <v>4815</v>
      </c>
      <c r="Q552" t="s">
        <v>5731</v>
      </c>
      <c r="R552" t="s">
        <v>5751</v>
      </c>
      <c r="T552" t="s">
        <v>4276</v>
      </c>
      <c r="V552" t="s">
        <v>5768</v>
      </c>
      <c r="W552" t="s">
        <v>5772</v>
      </c>
      <c r="X552" t="s">
        <v>89</v>
      </c>
      <c r="Y552">
        <v>951</v>
      </c>
      <c r="Z552" t="s">
        <v>5803</v>
      </c>
      <c r="AA552" t="s">
        <v>5805</v>
      </c>
      <c r="AC552" t="s">
        <v>6353</v>
      </c>
      <c r="AE552" t="s">
        <v>8355</v>
      </c>
      <c r="AF552">
        <v>9</v>
      </c>
      <c r="AG552" t="s">
        <v>9271</v>
      </c>
      <c r="AH552" t="s">
        <v>4280</v>
      </c>
      <c r="AI552">
        <v>10</v>
      </c>
      <c r="AJ552">
        <v>1</v>
      </c>
      <c r="AK552">
        <v>1</v>
      </c>
      <c r="AL552">
        <v>85.16</v>
      </c>
      <c r="AO552" t="s">
        <v>1425</v>
      </c>
      <c r="AP552">
        <v>14400</v>
      </c>
      <c r="AV552">
        <v>10.1</v>
      </c>
      <c r="AW552" t="s">
        <v>64</v>
      </c>
    </row>
    <row r="553" spans="1:49">
      <c r="A553" s="1">
        <f>HYPERLINK("https://cms.ls-nyc.org/matter/dynamic-profile/view/1899272","19-1899272")</f>
        <v>0</v>
      </c>
      <c r="B553" t="s">
        <v>64</v>
      </c>
      <c r="C553" t="s">
        <v>82</v>
      </c>
      <c r="D553" t="s">
        <v>161</v>
      </c>
      <c r="E553" t="s">
        <v>156</v>
      </c>
      <c r="F553" t="s">
        <v>764</v>
      </c>
      <c r="G553" t="s">
        <v>1835</v>
      </c>
      <c r="H553" t="s">
        <v>3008</v>
      </c>
      <c r="J553" t="s">
        <v>4249</v>
      </c>
      <c r="K553">
        <v>11428</v>
      </c>
      <c r="L553" t="s">
        <v>4275</v>
      </c>
      <c r="M553" t="s">
        <v>4277</v>
      </c>
      <c r="N553" t="s">
        <v>4278</v>
      </c>
      <c r="O553" t="s">
        <v>4283</v>
      </c>
      <c r="P553" t="s">
        <v>4816</v>
      </c>
      <c r="Q553" t="s">
        <v>5734</v>
      </c>
      <c r="R553" t="s">
        <v>5753</v>
      </c>
      <c r="S553" t="s">
        <v>5759</v>
      </c>
      <c r="T553" t="s">
        <v>4276</v>
      </c>
      <c r="V553" t="s">
        <v>5767</v>
      </c>
      <c r="X553" t="s">
        <v>161</v>
      </c>
      <c r="Y553">
        <v>0</v>
      </c>
      <c r="Z553" t="s">
        <v>5803</v>
      </c>
      <c r="AA553" t="s">
        <v>5804</v>
      </c>
      <c r="AB553" t="s">
        <v>5821</v>
      </c>
      <c r="AC553" t="s">
        <v>6354</v>
      </c>
      <c r="AE553" t="s">
        <v>8356</v>
      </c>
      <c r="AF553">
        <v>1</v>
      </c>
      <c r="AG553" t="s">
        <v>9269</v>
      </c>
      <c r="AH553" t="s">
        <v>4280</v>
      </c>
      <c r="AI553">
        <v>2</v>
      </c>
      <c r="AJ553">
        <v>1</v>
      </c>
      <c r="AK553">
        <v>0</v>
      </c>
      <c r="AL553">
        <v>86.47</v>
      </c>
      <c r="AO553" t="s">
        <v>1425</v>
      </c>
      <c r="AP553">
        <v>10800</v>
      </c>
      <c r="AV553">
        <v>0.8</v>
      </c>
      <c r="AW553" t="s">
        <v>64</v>
      </c>
    </row>
    <row r="554" spans="1:49">
      <c r="A554" s="1">
        <f>HYPERLINK("https://cms.ls-nyc.org/matter/dynamic-profile/view/1888397","19-1888397")</f>
        <v>0</v>
      </c>
      <c r="B554" t="s">
        <v>64</v>
      </c>
      <c r="C554" t="s">
        <v>82</v>
      </c>
      <c r="D554" t="s">
        <v>135</v>
      </c>
      <c r="E554" t="s">
        <v>175</v>
      </c>
      <c r="F554" t="s">
        <v>765</v>
      </c>
      <c r="G554" t="s">
        <v>1836</v>
      </c>
      <c r="H554" t="s">
        <v>3009</v>
      </c>
      <c r="J554" t="s">
        <v>4249</v>
      </c>
      <c r="K554">
        <v>11429</v>
      </c>
      <c r="L554" t="s">
        <v>4275</v>
      </c>
      <c r="M554" t="s">
        <v>4275</v>
      </c>
      <c r="O554" t="s">
        <v>4282</v>
      </c>
      <c r="P554" t="s">
        <v>4817</v>
      </c>
      <c r="Q554" t="s">
        <v>5732</v>
      </c>
      <c r="R554" t="s">
        <v>5753</v>
      </c>
      <c r="S554" t="s">
        <v>5759</v>
      </c>
      <c r="T554" t="s">
        <v>4276</v>
      </c>
      <c r="V554" t="s">
        <v>5767</v>
      </c>
      <c r="W554" t="s">
        <v>5771</v>
      </c>
      <c r="X554" t="s">
        <v>135</v>
      </c>
      <c r="Y554">
        <v>400</v>
      </c>
      <c r="Z554" t="s">
        <v>5803</v>
      </c>
      <c r="AA554" t="s">
        <v>5804</v>
      </c>
      <c r="AB554" t="s">
        <v>5821</v>
      </c>
      <c r="AC554" t="s">
        <v>6355</v>
      </c>
      <c r="AE554" t="s">
        <v>8357</v>
      </c>
      <c r="AF554">
        <v>1</v>
      </c>
      <c r="AG554" t="s">
        <v>9269</v>
      </c>
      <c r="AH554" t="s">
        <v>4280</v>
      </c>
      <c r="AI554">
        <v>1</v>
      </c>
      <c r="AJ554">
        <v>1</v>
      </c>
      <c r="AK554">
        <v>1</v>
      </c>
      <c r="AL554">
        <v>87.48</v>
      </c>
      <c r="AO554" t="s">
        <v>1425</v>
      </c>
      <c r="AP554">
        <v>14400</v>
      </c>
      <c r="AV554">
        <v>1.25</v>
      </c>
      <c r="AW554" t="s">
        <v>73</v>
      </c>
    </row>
    <row r="555" spans="1:49">
      <c r="A555" s="1">
        <f>HYPERLINK("https://cms.ls-nyc.org/matter/dynamic-profile/view/1893927","19-1893927")</f>
        <v>0</v>
      </c>
      <c r="B555" t="s">
        <v>64</v>
      </c>
      <c r="C555" t="s">
        <v>82</v>
      </c>
      <c r="D555" t="s">
        <v>96</v>
      </c>
      <c r="E555" t="s">
        <v>164</v>
      </c>
      <c r="F555" t="s">
        <v>338</v>
      </c>
      <c r="G555" t="s">
        <v>567</v>
      </c>
      <c r="H555" t="s">
        <v>3010</v>
      </c>
      <c r="I555" t="s">
        <v>3867</v>
      </c>
      <c r="J555" t="s">
        <v>4223</v>
      </c>
      <c r="K555">
        <v>11423</v>
      </c>
      <c r="L555" t="s">
        <v>4275</v>
      </c>
      <c r="M555" t="s">
        <v>4275</v>
      </c>
      <c r="O555" t="s">
        <v>4282</v>
      </c>
      <c r="P555" t="s">
        <v>4818</v>
      </c>
      <c r="Q555" t="s">
        <v>5732</v>
      </c>
      <c r="R555" t="s">
        <v>5753</v>
      </c>
      <c r="S555" t="s">
        <v>5759</v>
      </c>
      <c r="T555" t="s">
        <v>4276</v>
      </c>
      <c r="V555" t="s">
        <v>5767</v>
      </c>
      <c r="W555" t="s">
        <v>5773</v>
      </c>
      <c r="X555" t="s">
        <v>96</v>
      </c>
      <c r="Y555">
        <v>1200</v>
      </c>
      <c r="Z555" t="s">
        <v>5803</v>
      </c>
      <c r="AA555" t="s">
        <v>5804</v>
      </c>
      <c r="AB555" t="s">
        <v>5821</v>
      </c>
      <c r="AC555" t="s">
        <v>6356</v>
      </c>
      <c r="AE555" t="s">
        <v>8358</v>
      </c>
      <c r="AF555">
        <v>2</v>
      </c>
      <c r="AG555" t="s">
        <v>9270</v>
      </c>
      <c r="AH555" t="s">
        <v>9282</v>
      </c>
      <c r="AI555">
        <v>-1</v>
      </c>
      <c r="AJ555">
        <v>1</v>
      </c>
      <c r="AK555">
        <v>0</v>
      </c>
      <c r="AL555">
        <v>88.06999999999999</v>
      </c>
      <c r="AO555" t="s">
        <v>1425</v>
      </c>
      <c r="AP555">
        <v>11000</v>
      </c>
      <c r="AV555">
        <v>1.7</v>
      </c>
      <c r="AW555" t="s">
        <v>54</v>
      </c>
    </row>
    <row r="556" spans="1:49">
      <c r="A556" s="1">
        <f>HYPERLINK("https://cms.ls-nyc.org/matter/dynamic-profile/view/1886899","19-1886899")</f>
        <v>0</v>
      </c>
      <c r="B556" t="s">
        <v>64</v>
      </c>
      <c r="C556" t="s">
        <v>82</v>
      </c>
      <c r="D556" t="s">
        <v>193</v>
      </c>
      <c r="E556" t="s">
        <v>99</v>
      </c>
      <c r="F556" t="s">
        <v>766</v>
      </c>
      <c r="G556" t="s">
        <v>1438</v>
      </c>
      <c r="H556" t="s">
        <v>3011</v>
      </c>
      <c r="I556" t="s">
        <v>3867</v>
      </c>
      <c r="J556" t="s">
        <v>4239</v>
      </c>
      <c r="K556">
        <v>11420</v>
      </c>
      <c r="L556" t="s">
        <v>4275</v>
      </c>
      <c r="M556" t="s">
        <v>4275</v>
      </c>
      <c r="O556" t="s">
        <v>4282</v>
      </c>
      <c r="P556" t="s">
        <v>4819</v>
      </c>
      <c r="Q556" t="s">
        <v>5732</v>
      </c>
      <c r="R556" t="s">
        <v>5753</v>
      </c>
      <c r="S556" t="s">
        <v>5759</v>
      </c>
      <c r="T556" t="s">
        <v>4276</v>
      </c>
      <c r="V556" t="s">
        <v>5767</v>
      </c>
      <c r="W556" t="s">
        <v>5775</v>
      </c>
      <c r="X556" t="s">
        <v>193</v>
      </c>
      <c r="Y556">
        <v>1350</v>
      </c>
      <c r="Z556" t="s">
        <v>5803</v>
      </c>
      <c r="AA556" t="s">
        <v>5804</v>
      </c>
      <c r="AB556" t="s">
        <v>5821</v>
      </c>
      <c r="AC556" t="s">
        <v>6357</v>
      </c>
      <c r="AD556" t="s">
        <v>7511</v>
      </c>
      <c r="AE556" t="s">
        <v>8359</v>
      </c>
      <c r="AF556">
        <v>2</v>
      </c>
      <c r="AG556" t="s">
        <v>9270</v>
      </c>
      <c r="AH556" t="s">
        <v>4280</v>
      </c>
      <c r="AI556">
        <v>4</v>
      </c>
      <c r="AJ556">
        <v>4</v>
      </c>
      <c r="AK556">
        <v>2</v>
      </c>
      <c r="AL556">
        <v>88.77</v>
      </c>
      <c r="AO556" t="s">
        <v>1425</v>
      </c>
      <c r="AP556">
        <v>29952</v>
      </c>
      <c r="AV556">
        <v>1</v>
      </c>
      <c r="AW556" t="s">
        <v>54</v>
      </c>
    </row>
    <row r="557" spans="1:49">
      <c r="A557" s="1">
        <f>HYPERLINK("https://cms.ls-nyc.org/matter/dynamic-profile/view/1895922","19-1895922")</f>
        <v>0</v>
      </c>
      <c r="B557" t="s">
        <v>64</v>
      </c>
      <c r="C557" t="s">
        <v>82</v>
      </c>
      <c r="D557" t="s">
        <v>105</v>
      </c>
      <c r="E557" t="s">
        <v>95</v>
      </c>
      <c r="F557" t="s">
        <v>767</v>
      </c>
      <c r="G557" t="s">
        <v>1837</v>
      </c>
      <c r="H557" t="s">
        <v>3012</v>
      </c>
      <c r="I557" t="s">
        <v>3932</v>
      </c>
      <c r="J557" t="s">
        <v>4222</v>
      </c>
      <c r="K557">
        <v>11435</v>
      </c>
      <c r="L557" t="s">
        <v>4275</v>
      </c>
      <c r="M557" t="s">
        <v>4275</v>
      </c>
      <c r="N557" t="s">
        <v>4278</v>
      </c>
      <c r="O557" t="s">
        <v>4282</v>
      </c>
      <c r="P557" t="s">
        <v>4820</v>
      </c>
      <c r="Q557" t="s">
        <v>5731</v>
      </c>
      <c r="R557" t="s">
        <v>5753</v>
      </c>
      <c r="S557" t="s">
        <v>5759</v>
      </c>
      <c r="T557" t="s">
        <v>4276</v>
      </c>
      <c r="V557" t="s">
        <v>5767</v>
      </c>
      <c r="W557" t="s">
        <v>5772</v>
      </c>
      <c r="X557" t="s">
        <v>105</v>
      </c>
      <c r="Y557">
        <v>2250</v>
      </c>
      <c r="Z557" t="s">
        <v>5803</v>
      </c>
      <c r="AA557" t="s">
        <v>5804</v>
      </c>
      <c r="AB557" t="s">
        <v>5821</v>
      </c>
      <c r="AC557" t="s">
        <v>6358</v>
      </c>
      <c r="AD557" t="s">
        <v>7512</v>
      </c>
      <c r="AE557" t="s">
        <v>8360</v>
      </c>
      <c r="AF557">
        <v>27</v>
      </c>
      <c r="AG557" t="s">
        <v>9272</v>
      </c>
      <c r="AH557" t="s">
        <v>4280</v>
      </c>
      <c r="AI557">
        <v>1</v>
      </c>
      <c r="AJ557">
        <v>1</v>
      </c>
      <c r="AK557">
        <v>2</v>
      </c>
      <c r="AL557">
        <v>89.08</v>
      </c>
      <c r="AO557" t="s">
        <v>9313</v>
      </c>
      <c r="AP557">
        <v>19000</v>
      </c>
      <c r="AV557">
        <v>1.3</v>
      </c>
      <c r="AW557" t="s">
        <v>54</v>
      </c>
    </row>
    <row r="558" spans="1:49">
      <c r="A558" s="1">
        <f>HYPERLINK("https://cms.ls-nyc.org/matter/dynamic-profile/view/1886615","18-1886615")</f>
        <v>0</v>
      </c>
      <c r="B558" t="s">
        <v>64</v>
      </c>
      <c r="C558" t="s">
        <v>82</v>
      </c>
      <c r="D558" t="s">
        <v>189</v>
      </c>
      <c r="E558" t="s">
        <v>241</v>
      </c>
      <c r="F558" t="s">
        <v>768</v>
      </c>
      <c r="G558" t="s">
        <v>1838</v>
      </c>
      <c r="H558" t="s">
        <v>3013</v>
      </c>
      <c r="I558" t="s">
        <v>3978</v>
      </c>
      <c r="J558" t="s">
        <v>4230</v>
      </c>
      <c r="K558">
        <v>11101</v>
      </c>
      <c r="L558" t="s">
        <v>4275</v>
      </c>
      <c r="M558" t="s">
        <v>4275</v>
      </c>
      <c r="O558" t="s">
        <v>4283</v>
      </c>
      <c r="P558" t="s">
        <v>4821</v>
      </c>
      <c r="Q558" t="s">
        <v>5731</v>
      </c>
      <c r="R558" t="s">
        <v>5753</v>
      </c>
      <c r="S558" t="s">
        <v>5759</v>
      </c>
      <c r="T558" t="s">
        <v>4276</v>
      </c>
      <c r="V558" t="s">
        <v>5767</v>
      </c>
      <c r="W558" t="s">
        <v>5775</v>
      </c>
      <c r="X558" t="s">
        <v>189</v>
      </c>
      <c r="Y558">
        <v>1900</v>
      </c>
      <c r="Z558" t="s">
        <v>5803</v>
      </c>
      <c r="AA558" t="s">
        <v>5804</v>
      </c>
      <c r="AB558" t="s">
        <v>5821</v>
      </c>
      <c r="AC558" t="s">
        <v>6359</v>
      </c>
      <c r="AD558" t="s">
        <v>4280</v>
      </c>
      <c r="AE558" t="s">
        <v>8361</v>
      </c>
      <c r="AF558">
        <v>6</v>
      </c>
      <c r="AG558" t="s">
        <v>9272</v>
      </c>
      <c r="AH558" t="s">
        <v>4280</v>
      </c>
      <c r="AI558">
        <v>2</v>
      </c>
      <c r="AJ558">
        <v>1</v>
      </c>
      <c r="AK558">
        <v>0</v>
      </c>
      <c r="AL558">
        <v>98.84999999999999</v>
      </c>
      <c r="AO558" t="s">
        <v>1425</v>
      </c>
      <c r="AP558">
        <v>12000</v>
      </c>
      <c r="AV558">
        <v>1.35</v>
      </c>
      <c r="AW558" t="s">
        <v>64</v>
      </c>
    </row>
    <row r="559" spans="1:49">
      <c r="A559" s="1">
        <f>HYPERLINK("https://cms.ls-nyc.org/matter/dynamic-profile/view/1883046","18-1883046")</f>
        <v>0</v>
      </c>
      <c r="B559" t="s">
        <v>64</v>
      </c>
      <c r="C559" t="s">
        <v>83</v>
      </c>
      <c r="D559" t="s">
        <v>223</v>
      </c>
      <c r="F559" t="s">
        <v>769</v>
      </c>
      <c r="G559" t="s">
        <v>1839</v>
      </c>
      <c r="H559" t="s">
        <v>3014</v>
      </c>
      <c r="I559" t="s">
        <v>3890</v>
      </c>
      <c r="J559" t="s">
        <v>4234</v>
      </c>
      <c r="K559">
        <v>11103</v>
      </c>
      <c r="L559" t="s">
        <v>4275</v>
      </c>
      <c r="M559" t="s">
        <v>4275</v>
      </c>
      <c r="N559" t="s">
        <v>4278</v>
      </c>
      <c r="O559" t="s">
        <v>4282</v>
      </c>
      <c r="P559" t="s">
        <v>4822</v>
      </c>
      <c r="Q559" t="s">
        <v>5732</v>
      </c>
      <c r="R559" t="s">
        <v>5751</v>
      </c>
      <c r="T559" t="s">
        <v>4276</v>
      </c>
      <c r="V559" t="s">
        <v>5767</v>
      </c>
      <c r="W559" t="s">
        <v>5772</v>
      </c>
      <c r="X559" t="s">
        <v>223</v>
      </c>
      <c r="Y559">
        <v>1231</v>
      </c>
      <c r="Z559" t="s">
        <v>5803</v>
      </c>
      <c r="AA559" t="s">
        <v>5804</v>
      </c>
      <c r="AC559" t="s">
        <v>6360</v>
      </c>
      <c r="AE559" t="s">
        <v>8362</v>
      </c>
      <c r="AF559">
        <v>6</v>
      </c>
      <c r="AG559" t="s">
        <v>9272</v>
      </c>
      <c r="AH559" t="s">
        <v>4280</v>
      </c>
      <c r="AI559">
        <v>8</v>
      </c>
      <c r="AJ559">
        <v>2</v>
      </c>
      <c r="AK559">
        <v>2</v>
      </c>
      <c r="AL559">
        <v>99.59999999999999</v>
      </c>
      <c r="AO559" t="s">
        <v>1425</v>
      </c>
      <c r="AP559">
        <v>25000</v>
      </c>
      <c r="AV559">
        <v>81.02</v>
      </c>
      <c r="AW559" t="s">
        <v>73</v>
      </c>
    </row>
    <row r="560" spans="1:49">
      <c r="A560" s="1">
        <f>HYPERLINK("https://cms.ls-nyc.org/matter/dynamic-profile/view/1895194","19-1895194")</f>
        <v>0</v>
      </c>
      <c r="B560" t="s">
        <v>64</v>
      </c>
      <c r="C560" t="s">
        <v>82</v>
      </c>
      <c r="D560" t="s">
        <v>218</v>
      </c>
      <c r="E560" t="s">
        <v>156</v>
      </c>
      <c r="F560" t="s">
        <v>410</v>
      </c>
      <c r="G560" t="s">
        <v>1840</v>
      </c>
      <c r="H560" t="s">
        <v>3015</v>
      </c>
      <c r="J560" t="s">
        <v>4251</v>
      </c>
      <c r="K560">
        <v>11377</v>
      </c>
      <c r="L560" t="s">
        <v>4275</v>
      </c>
      <c r="M560" t="s">
        <v>4275</v>
      </c>
      <c r="N560" t="s">
        <v>4278</v>
      </c>
      <c r="O560" t="s">
        <v>4283</v>
      </c>
      <c r="P560" t="s">
        <v>4823</v>
      </c>
      <c r="Q560" t="s">
        <v>5732</v>
      </c>
      <c r="R560" t="s">
        <v>5753</v>
      </c>
      <c r="S560" t="s">
        <v>5759</v>
      </c>
      <c r="T560" t="s">
        <v>4276</v>
      </c>
      <c r="V560" t="s">
        <v>5767</v>
      </c>
      <c r="W560" t="s">
        <v>5772</v>
      </c>
      <c r="X560" t="s">
        <v>218</v>
      </c>
      <c r="Y560">
        <v>800</v>
      </c>
      <c r="Z560" t="s">
        <v>5803</v>
      </c>
      <c r="AA560" t="s">
        <v>5804</v>
      </c>
      <c r="AB560" t="s">
        <v>5821</v>
      </c>
      <c r="AC560" t="s">
        <v>6361</v>
      </c>
      <c r="AD560" t="s">
        <v>7289</v>
      </c>
      <c r="AE560" t="s">
        <v>8363</v>
      </c>
      <c r="AF560">
        <v>9</v>
      </c>
      <c r="AG560" t="s">
        <v>9277</v>
      </c>
      <c r="AH560" t="s">
        <v>4280</v>
      </c>
      <c r="AI560">
        <v>2</v>
      </c>
      <c r="AJ560">
        <v>1</v>
      </c>
      <c r="AK560">
        <v>0</v>
      </c>
      <c r="AL560">
        <v>104.08</v>
      </c>
      <c r="AO560" t="s">
        <v>1425</v>
      </c>
      <c r="AP560">
        <v>13000</v>
      </c>
      <c r="AV560">
        <v>1.25</v>
      </c>
      <c r="AW560" t="s">
        <v>9547</v>
      </c>
    </row>
    <row r="561" spans="1:49">
      <c r="A561" s="1">
        <f>HYPERLINK("https://cms.ls-nyc.org/matter/dynamic-profile/view/1885347","18-1885347")</f>
        <v>0</v>
      </c>
      <c r="B561" t="s">
        <v>64</v>
      </c>
      <c r="C561" t="s">
        <v>82</v>
      </c>
      <c r="D561" t="s">
        <v>185</v>
      </c>
      <c r="E561" t="s">
        <v>303</v>
      </c>
      <c r="F561" t="s">
        <v>661</v>
      </c>
      <c r="G561" t="s">
        <v>1841</v>
      </c>
      <c r="H561" t="s">
        <v>3016</v>
      </c>
      <c r="I561" t="s">
        <v>3867</v>
      </c>
      <c r="J561" t="s">
        <v>4234</v>
      </c>
      <c r="K561">
        <v>11102</v>
      </c>
      <c r="L561" t="s">
        <v>4275</v>
      </c>
      <c r="M561" t="s">
        <v>4275</v>
      </c>
      <c r="O561" t="s">
        <v>4282</v>
      </c>
      <c r="P561" t="s">
        <v>4824</v>
      </c>
      <c r="Q561" t="s">
        <v>5732</v>
      </c>
      <c r="R561" t="s">
        <v>5753</v>
      </c>
      <c r="S561" t="s">
        <v>5759</v>
      </c>
      <c r="T561" t="s">
        <v>4276</v>
      </c>
      <c r="V561" t="s">
        <v>5767</v>
      </c>
      <c r="W561" t="s">
        <v>5772</v>
      </c>
      <c r="X561" t="s">
        <v>185</v>
      </c>
      <c r="Y561">
        <v>1956</v>
      </c>
      <c r="Z561" t="s">
        <v>5803</v>
      </c>
      <c r="AA561" t="s">
        <v>5804</v>
      </c>
      <c r="AB561" t="s">
        <v>5821</v>
      </c>
      <c r="AC561" t="s">
        <v>6362</v>
      </c>
      <c r="AD561" t="s">
        <v>7513</v>
      </c>
      <c r="AE561" t="s">
        <v>8364</v>
      </c>
      <c r="AF561">
        <v>2</v>
      </c>
      <c r="AG561" t="s">
        <v>9270</v>
      </c>
      <c r="AH561" t="s">
        <v>9286</v>
      </c>
      <c r="AI561">
        <v>3</v>
      </c>
      <c r="AJ561">
        <v>2</v>
      </c>
      <c r="AK561">
        <v>2</v>
      </c>
      <c r="AL561">
        <v>109.32</v>
      </c>
      <c r="AO561" t="s">
        <v>9298</v>
      </c>
      <c r="AP561">
        <v>27439.36</v>
      </c>
      <c r="AV561">
        <v>1.5</v>
      </c>
      <c r="AW561" t="s">
        <v>54</v>
      </c>
    </row>
    <row r="562" spans="1:49">
      <c r="A562" s="1">
        <f>HYPERLINK("https://cms.ls-nyc.org/matter/dynamic-profile/view/1881346","18-1881346")</f>
        <v>0</v>
      </c>
      <c r="B562" t="s">
        <v>64</v>
      </c>
      <c r="C562" t="s">
        <v>83</v>
      </c>
      <c r="D562" t="s">
        <v>150</v>
      </c>
      <c r="F562" t="s">
        <v>770</v>
      </c>
      <c r="G562" t="s">
        <v>642</v>
      </c>
      <c r="H562" t="s">
        <v>3017</v>
      </c>
      <c r="I562" t="s">
        <v>4029</v>
      </c>
      <c r="J562" t="s">
        <v>4222</v>
      </c>
      <c r="K562">
        <v>11433</v>
      </c>
      <c r="L562" t="s">
        <v>4275</v>
      </c>
      <c r="M562" t="s">
        <v>4275</v>
      </c>
      <c r="O562" t="s">
        <v>4281</v>
      </c>
      <c r="P562" t="s">
        <v>4825</v>
      </c>
      <c r="Q562" t="s">
        <v>5732</v>
      </c>
      <c r="R562" t="s">
        <v>5751</v>
      </c>
      <c r="T562" t="s">
        <v>4276</v>
      </c>
      <c r="V562" t="s">
        <v>5767</v>
      </c>
      <c r="W562" t="s">
        <v>5772</v>
      </c>
      <c r="X562" t="s">
        <v>174</v>
      </c>
      <c r="Y562">
        <v>1200</v>
      </c>
      <c r="Z562" t="s">
        <v>5803</v>
      </c>
      <c r="AA562" t="s">
        <v>5805</v>
      </c>
      <c r="AC562" t="s">
        <v>6363</v>
      </c>
      <c r="AE562" t="s">
        <v>8365</v>
      </c>
      <c r="AF562">
        <v>2</v>
      </c>
      <c r="AG562" t="s">
        <v>9269</v>
      </c>
      <c r="AH562" t="s">
        <v>4280</v>
      </c>
      <c r="AI562">
        <v>1</v>
      </c>
      <c r="AJ562">
        <v>1</v>
      </c>
      <c r="AK562">
        <v>1</v>
      </c>
      <c r="AL562">
        <v>109.36</v>
      </c>
      <c r="AO562" t="s">
        <v>1425</v>
      </c>
      <c r="AP562">
        <v>18000</v>
      </c>
      <c r="AR562" t="s">
        <v>9327</v>
      </c>
      <c r="AS562" t="s">
        <v>9340</v>
      </c>
      <c r="AT562" t="s">
        <v>9369</v>
      </c>
      <c r="AU562" t="s">
        <v>9475</v>
      </c>
      <c r="AV562">
        <v>6.6</v>
      </c>
      <c r="AW562" t="s">
        <v>60</v>
      </c>
    </row>
    <row r="563" spans="1:49">
      <c r="A563" s="1">
        <f>HYPERLINK("https://cms.ls-nyc.org/matter/dynamic-profile/view/1882748","18-1882748")</f>
        <v>0</v>
      </c>
      <c r="B563" t="s">
        <v>64</v>
      </c>
      <c r="C563" t="s">
        <v>83</v>
      </c>
      <c r="D563" t="s">
        <v>111</v>
      </c>
      <c r="F563" t="s">
        <v>771</v>
      </c>
      <c r="G563" t="s">
        <v>1842</v>
      </c>
      <c r="H563" t="s">
        <v>3018</v>
      </c>
      <c r="I563" t="s">
        <v>3940</v>
      </c>
      <c r="J563" t="s">
        <v>4236</v>
      </c>
      <c r="K563">
        <v>11416</v>
      </c>
      <c r="L563" t="s">
        <v>4275</v>
      </c>
      <c r="M563" t="s">
        <v>4275</v>
      </c>
      <c r="O563" t="s">
        <v>4282</v>
      </c>
      <c r="P563" t="s">
        <v>4826</v>
      </c>
      <c r="Q563" t="s">
        <v>5731</v>
      </c>
      <c r="R563" t="s">
        <v>5751</v>
      </c>
      <c r="T563" t="s">
        <v>4276</v>
      </c>
      <c r="V563" t="s">
        <v>5767</v>
      </c>
      <c r="W563" t="s">
        <v>5772</v>
      </c>
      <c r="X563" t="s">
        <v>111</v>
      </c>
      <c r="Y563">
        <v>2000</v>
      </c>
      <c r="Z563" t="s">
        <v>5803</v>
      </c>
      <c r="AA563" t="s">
        <v>5804</v>
      </c>
      <c r="AC563" t="s">
        <v>6364</v>
      </c>
      <c r="AD563" t="s">
        <v>7514</v>
      </c>
      <c r="AE563" t="s">
        <v>8366</v>
      </c>
      <c r="AF563">
        <v>4</v>
      </c>
      <c r="AG563" t="s">
        <v>9269</v>
      </c>
      <c r="AH563" t="s">
        <v>9282</v>
      </c>
      <c r="AI563">
        <v>3</v>
      </c>
      <c r="AJ563">
        <v>2</v>
      </c>
      <c r="AK563">
        <v>2</v>
      </c>
      <c r="AL563">
        <v>117.05</v>
      </c>
      <c r="AO563" t="s">
        <v>9298</v>
      </c>
      <c r="AP563">
        <v>29380</v>
      </c>
      <c r="AR563" t="s">
        <v>9329</v>
      </c>
      <c r="AS563" t="s">
        <v>9336</v>
      </c>
      <c r="AT563" t="s">
        <v>9369</v>
      </c>
      <c r="AU563" t="s">
        <v>9476</v>
      </c>
      <c r="AV563">
        <v>17.1</v>
      </c>
      <c r="AW563" t="s">
        <v>73</v>
      </c>
    </row>
    <row r="564" spans="1:49">
      <c r="A564" s="1">
        <f>HYPERLINK("https://cms.ls-nyc.org/matter/dynamic-profile/view/1894695","19-1894695")</f>
        <v>0</v>
      </c>
      <c r="B564" t="s">
        <v>64</v>
      </c>
      <c r="C564" t="s">
        <v>82</v>
      </c>
      <c r="D564" t="s">
        <v>200</v>
      </c>
      <c r="E564" t="s">
        <v>164</v>
      </c>
      <c r="F564" t="s">
        <v>772</v>
      </c>
      <c r="G564" t="s">
        <v>1761</v>
      </c>
      <c r="H564" t="s">
        <v>3019</v>
      </c>
      <c r="I564" t="s">
        <v>3921</v>
      </c>
      <c r="J564" t="s">
        <v>4222</v>
      </c>
      <c r="K564">
        <v>11435</v>
      </c>
      <c r="L564" t="s">
        <v>4275</v>
      </c>
      <c r="M564" t="s">
        <v>4276</v>
      </c>
      <c r="N564" t="s">
        <v>4278</v>
      </c>
      <c r="O564" t="s">
        <v>4282</v>
      </c>
      <c r="P564" t="s">
        <v>4827</v>
      </c>
      <c r="Q564" t="s">
        <v>5732</v>
      </c>
      <c r="R564" t="s">
        <v>5753</v>
      </c>
      <c r="S564" t="s">
        <v>5759</v>
      </c>
      <c r="T564" t="s">
        <v>4276</v>
      </c>
      <c r="V564" t="s">
        <v>5767</v>
      </c>
      <c r="W564" t="s">
        <v>5774</v>
      </c>
      <c r="X564" t="s">
        <v>200</v>
      </c>
      <c r="Y564">
        <v>0</v>
      </c>
      <c r="Z564" t="s">
        <v>5803</v>
      </c>
      <c r="AA564" t="s">
        <v>5812</v>
      </c>
      <c r="AB564" t="s">
        <v>5821</v>
      </c>
      <c r="AC564" t="s">
        <v>6365</v>
      </c>
      <c r="AD564" t="s">
        <v>7289</v>
      </c>
      <c r="AE564" t="s">
        <v>8367</v>
      </c>
      <c r="AF564">
        <v>2</v>
      </c>
      <c r="AG564" t="s">
        <v>9269</v>
      </c>
      <c r="AH564" t="s">
        <v>4280</v>
      </c>
      <c r="AI564">
        <v>2</v>
      </c>
      <c r="AJ564">
        <v>1</v>
      </c>
      <c r="AK564">
        <v>1</v>
      </c>
      <c r="AL564">
        <v>126.16</v>
      </c>
      <c r="AO564" t="s">
        <v>1425</v>
      </c>
      <c r="AP564">
        <v>21334.08</v>
      </c>
      <c r="AV564">
        <v>1</v>
      </c>
      <c r="AW564" t="s">
        <v>64</v>
      </c>
    </row>
    <row r="565" spans="1:49">
      <c r="A565" s="1">
        <f>HYPERLINK("https://cms.ls-nyc.org/matter/dynamic-profile/view/1890855","19-1890855")</f>
        <v>0</v>
      </c>
      <c r="B565" t="s">
        <v>64</v>
      </c>
      <c r="C565" t="s">
        <v>82</v>
      </c>
      <c r="D565" t="s">
        <v>98</v>
      </c>
      <c r="E565" t="s">
        <v>164</v>
      </c>
      <c r="F565" t="s">
        <v>773</v>
      </c>
      <c r="G565" t="s">
        <v>1843</v>
      </c>
      <c r="H565" t="s">
        <v>3020</v>
      </c>
      <c r="I565" t="s">
        <v>3978</v>
      </c>
      <c r="J565" t="s">
        <v>4249</v>
      </c>
      <c r="K565">
        <v>11427</v>
      </c>
      <c r="L565" t="s">
        <v>4275</v>
      </c>
      <c r="M565" t="s">
        <v>4275</v>
      </c>
      <c r="N565" t="s">
        <v>4278</v>
      </c>
      <c r="O565" t="s">
        <v>4282</v>
      </c>
      <c r="P565" t="s">
        <v>4828</v>
      </c>
      <c r="Q565" t="s">
        <v>5731</v>
      </c>
      <c r="R565" t="s">
        <v>5753</v>
      </c>
      <c r="S565" t="s">
        <v>5759</v>
      </c>
      <c r="T565" t="s">
        <v>4276</v>
      </c>
      <c r="V565" t="s">
        <v>5767</v>
      </c>
      <c r="W565" t="s">
        <v>5772</v>
      </c>
      <c r="X565" t="s">
        <v>98</v>
      </c>
      <c r="Y565">
        <v>865</v>
      </c>
      <c r="Z565" t="s">
        <v>5803</v>
      </c>
      <c r="AA565" t="s">
        <v>5804</v>
      </c>
      <c r="AB565" t="s">
        <v>5821</v>
      </c>
      <c r="AC565" t="s">
        <v>6366</v>
      </c>
      <c r="AD565" t="s">
        <v>7515</v>
      </c>
      <c r="AE565" t="s">
        <v>8368</v>
      </c>
      <c r="AF565">
        <v>60</v>
      </c>
      <c r="AG565" t="s">
        <v>9272</v>
      </c>
      <c r="AH565" t="s">
        <v>4280</v>
      </c>
      <c r="AI565">
        <v>21</v>
      </c>
      <c r="AJ565">
        <v>2</v>
      </c>
      <c r="AK565">
        <v>0</v>
      </c>
      <c r="AL565">
        <v>127.07</v>
      </c>
      <c r="AO565" t="s">
        <v>1425</v>
      </c>
      <c r="AP565">
        <v>21487</v>
      </c>
      <c r="AV565">
        <v>0.6</v>
      </c>
      <c r="AW565" t="s">
        <v>73</v>
      </c>
    </row>
    <row r="566" spans="1:49">
      <c r="A566" s="1">
        <f>HYPERLINK("https://cms.ls-nyc.org/matter/dynamic-profile/view/1890029","19-1890029")</f>
        <v>0</v>
      </c>
      <c r="B566" t="s">
        <v>64</v>
      </c>
      <c r="C566" t="s">
        <v>83</v>
      </c>
      <c r="D566" t="s">
        <v>175</v>
      </c>
      <c r="F566" t="s">
        <v>774</v>
      </c>
      <c r="G566" t="s">
        <v>1844</v>
      </c>
      <c r="H566" t="s">
        <v>3021</v>
      </c>
      <c r="I566" t="s">
        <v>4004</v>
      </c>
      <c r="J566" t="s">
        <v>4222</v>
      </c>
      <c r="K566">
        <v>11435</v>
      </c>
      <c r="L566" t="s">
        <v>4275</v>
      </c>
      <c r="M566" t="s">
        <v>4275</v>
      </c>
      <c r="O566" t="s">
        <v>4282</v>
      </c>
      <c r="P566" t="s">
        <v>4829</v>
      </c>
      <c r="Q566" t="s">
        <v>5731</v>
      </c>
      <c r="R566" t="s">
        <v>5751</v>
      </c>
      <c r="T566" t="s">
        <v>4276</v>
      </c>
      <c r="V566" t="s">
        <v>5767</v>
      </c>
      <c r="W566" t="s">
        <v>5772</v>
      </c>
      <c r="X566" t="s">
        <v>175</v>
      </c>
      <c r="Y566">
        <v>1486</v>
      </c>
      <c r="Z566" t="s">
        <v>5803</v>
      </c>
      <c r="AA566" t="s">
        <v>5804</v>
      </c>
      <c r="AC566" t="s">
        <v>6367</v>
      </c>
      <c r="AD566" t="s">
        <v>7516</v>
      </c>
      <c r="AE566" t="s">
        <v>8369</v>
      </c>
      <c r="AF566">
        <v>24</v>
      </c>
      <c r="AG566" t="s">
        <v>9272</v>
      </c>
      <c r="AH566" t="s">
        <v>4280</v>
      </c>
      <c r="AI566">
        <v>7</v>
      </c>
      <c r="AJ566">
        <v>3</v>
      </c>
      <c r="AK566">
        <v>2</v>
      </c>
      <c r="AL566">
        <v>139.21</v>
      </c>
      <c r="AO566" t="s">
        <v>9301</v>
      </c>
      <c r="AP566">
        <v>42000</v>
      </c>
      <c r="AV566">
        <v>12.5</v>
      </c>
      <c r="AW566" t="s">
        <v>74</v>
      </c>
    </row>
    <row r="567" spans="1:49">
      <c r="A567" s="1">
        <f>HYPERLINK("https://cms.ls-nyc.org/matter/dynamic-profile/view/1890973","19-1890973")</f>
        <v>0</v>
      </c>
      <c r="B567" t="s">
        <v>64</v>
      </c>
      <c r="C567" t="s">
        <v>83</v>
      </c>
      <c r="D567" t="s">
        <v>98</v>
      </c>
      <c r="F567" t="s">
        <v>775</v>
      </c>
      <c r="G567" t="s">
        <v>1845</v>
      </c>
      <c r="H567" t="s">
        <v>3022</v>
      </c>
      <c r="I567" t="s">
        <v>3867</v>
      </c>
      <c r="J567" t="s">
        <v>4250</v>
      </c>
      <c r="K567">
        <v>11412</v>
      </c>
      <c r="L567" t="s">
        <v>4275</v>
      </c>
      <c r="M567" t="s">
        <v>4275</v>
      </c>
      <c r="N567" t="s">
        <v>4278</v>
      </c>
      <c r="O567" t="s">
        <v>4282</v>
      </c>
      <c r="P567" t="s">
        <v>4830</v>
      </c>
      <c r="Q567" t="s">
        <v>5732</v>
      </c>
      <c r="R567" t="s">
        <v>5751</v>
      </c>
      <c r="T567" t="s">
        <v>4276</v>
      </c>
      <c r="V567" t="s">
        <v>5767</v>
      </c>
      <c r="W567" t="s">
        <v>5772</v>
      </c>
      <c r="X567" t="s">
        <v>98</v>
      </c>
      <c r="Y567">
        <v>1100</v>
      </c>
      <c r="Z567" t="s">
        <v>5803</v>
      </c>
      <c r="AA567" t="s">
        <v>5804</v>
      </c>
      <c r="AC567" t="s">
        <v>6368</v>
      </c>
      <c r="AE567" t="s">
        <v>8370</v>
      </c>
      <c r="AF567">
        <v>2</v>
      </c>
      <c r="AG567" t="s">
        <v>9269</v>
      </c>
      <c r="AH567" t="s">
        <v>4280</v>
      </c>
      <c r="AI567">
        <v>18</v>
      </c>
      <c r="AJ567">
        <v>3</v>
      </c>
      <c r="AK567">
        <v>1</v>
      </c>
      <c r="AL567">
        <v>148.55</v>
      </c>
      <c r="AO567" t="s">
        <v>1425</v>
      </c>
      <c r="AP567">
        <v>38252</v>
      </c>
      <c r="AV567">
        <v>26.8</v>
      </c>
      <c r="AW567" t="s">
        <v>54</v>
      </c>
    </row>
    <row r="568" spans="1:49">
      <c r="A568" s="1">
        <f>HYPERLINK("https://cms.ls-nyc.org/matter/dynamic-profile/view/1888094","19-1888094")</f>
        <v>0</v>
      </c>
      <c r="B568" t="s">
        <v>64</v>
      </c>
      <c r="C568" t="s">
        <v>82</v>
      </c>
      <c r="D568" t="s">
        <v>152</v>
      </c>
      <c r="E568" t="s">
        <v>239</v>
      </c>
      <c r="F568" t="s">
        <v>776</v>
      </c>
      <c r="G568" t="s">
        <v>1846</v>
      </c>
      <c r="H568" t="s">
        <v>3003</v>
      </c>
      <c r="I568" t="s">
        <v>4030</v>
      </c>
      <c r="J568" t="s">
        <v>4230</v>
      </c>
      <c r="K568">
        <v>11101</v>
      </c>
      <c r="L568" t="s">
        <v>4275</v>
      </c>
      <c r="M568" t="s">
        <v>4275</v>
      </c>
      <c r="O568" t="s">
        <v>4283</v>
      </c>
      <c r="P568" t="s">
        <v>4831</v>
      </c>
      <c r="Q568" t="s">
        <v>5731</v>
      </c>
      <c r="R568" t="s">
        <v>5753</v>
      </c>
      <c r="S568" t="s">
        <v>5759</v>
      </c>
      <c r="T568" t="s">
        <v>4276</v>
      </c>
      <c r="V568" t="s">
        <v>5767</v>
      </c>
      <c r="W568" t="s">
        <v>5772</v>
      </c>
      <c r="X568" t="s">
        <v>152</v>
      </c>
      <c r="Y568">
        <v>1230</v>
      </c>
      <c r="Z568" t="s">
        <v>5803</v>
      </c>
      <c r="AA568" t="s">
        <v>5804</v>
      </c>
      <c r="AB568" t="s">
        <v>5821</v>
      </c>
      <c r="AC568" t="s">
        <v>6369</v>
      </c>
      <c r="AD568" t="s">
        <v>7517</v>
      </c>
      <c r="AE568" t="s">
        <v>8371</v>
      </c>
      <c r="AF568">
        <v>974</v>
      </c>
      <c r="AG568" t="s">
        <v>9272</v>
      </c>
      <c r="AH568" t="s">
        <v>4280</v>
      </c>
      <c r="AI568">
        <v>1</v>
      </c>
      <c r="AJ568">
        <v>2</v>
      </c>
      <c r="AK568">
        <v>2</v>
      </c>
      <c r="AL568">
        <v>149.16</v>
      </c>
      <c r="AO568" t="s">
        <v>1425</v>
      </c>
      <c r="AP568">
        <v>37440</v>
      </c>
      <c r="AV568">
        <v>0.25</v>
      </c>
      <c r="AW568" t="s">
        <v>73</v>
      </c>
    </row>
    <row r="569" spans="1:49">
      <c r="A569" s="1">
        <f>HYPERLINK("https://cms.ls-nyc.org/matter/dynamic-profile/view/1890897","19-1890897")</f>
        <v>0</v>
      </c>
      <c r="B569" t="s">
        <v>64</v>
      </c>
      <c r="C569" t="s">
        <v>83</v>
      </c>
      <c r="D569" t="s">
        <v>98</v>
      </c>
      <c r="F569" t="s">
        <v>483</v>
      </c>
      <c r="G569" t="s">
        <v>1847</v>
      </c>
      <c r="H569" t="s">
        <v>3023</v>
      </c>
      <c r="I569" t="s">
        <v>3931</v>
      </c>
      <c r="J569" t="s">
        <v>4227</v>
      </c>
      <c r="K569">
        <v>11365</v>
      </c>
      <c r="L569" t="s">
        <v>4275</v>
      </c>
      <c r="M569" t="s">
        <v>4275</v>
      </c>
      <c r="N569" t="s">
        <v>4278</v>
      </c>
      <c r="O569" t="s">
        <v>4282</v>
      </c>
      <c r="P569" t="s">
        <v>4832</v>
      </c>
      <c r="Q569" t="s">
        <v>5731</v>
      </c>
      <c r="R569" t="s">
        <v>5751</v>
      </c>
      <c r="T569" t="s">
        <v>4276</v>
      </c>
      <c r="V569" t="s">
        <v>5767</v>
      </c>
      <c r="W569" t="s">
        <v>5772</v>
      </c>
      <c r="X569" t="s">
        <v>98</v>
      </c>
      <c r="Y569">
        <v>1112</v>
      </c>
      <c r="Z569" t="s">
        <v>5803</v>
      </c>
      <c r="AA569" t="s">
        <v>5804</v>
      </c>
      <c r="AC569" t="s">
        <v>6370</v>
      </c>
      <c r="AD569" t="s">
        <v>7518</v>
      </c>
      <c r="AE569" t="s">
        <v>8372</v>
      </c>
      <c r="AF569">
        <v>84</v>
      </c>
      <c r="AG569" t="s">
        <v>9273</v>
      </c>
      <c r="AH569" t="s">
        <v>4280</v>
      </c>
      <c r="AI569">
        <v>10</v>
      </c>
      <c r="AJ569">
        <v>2</v>
      </c>
      <c r="AK569">
        <v>0</v>
      </c>
      <c r="AL569">
        <v>154.68</v>
      </c>
      <c r="AO569" t="s">
        <v>1425</v>
      </c>
      <c r="AP569">
        <v>26156</v>
      </c>
      <c r="AV569">
        <v>31.75</v>
      </c>
      <c r="AW569" t="s">
        <v>73</v>
      </c>
    </row>
    <row r="570" spans="1:49">
      <c r="A570" s="1">
        <f>HYPERLINK("https://cms.ls-nyc.org/matter/dynamic-profile/view/1899297","19-1899297")</f>
        <v>0</v>
      </c>
      <c r="B570" t="s">
        <v>64</v>
      </c>
      <c r="C570" t="s">
        <v>82</v>
      </c>
      <c r="D570" t="s">
        <v>161</v>
      </c>
      <c r="E570" t="s">
        <v>156</v>
      </c>
      <c r="F570" t="s">
        <v>777</v>
      </c>
      <c r="G570" t="s">
        <v>1848</v>
      </c>
      <c r="H570" t="s">
        <v>3024</v>
      </c>
      <c r="J570" t="s">
        <v>4235</v>
      </c>
      <c r="K570">
        <v>11421</v>
      </c>
      <c r="L570" t="s">
        <v>4275</v>
      </c>
      <c r="M570" t="s">
        <v>4277</v>
      </c>
      <c r="N570" t="s">
        <v>4278</v>
      </c>
      <c r="O570" t="s">
        <v>4283</v>
      </c>
      <c r="P570" t="s">
        <v>4833</v>
      </c>
      <c r="Q570" t="s">
        <v>5732</v>
      </c>
      <c r="R570" t="s">
        <v>5753</v>
      </c>
      <c r="S570" t="s">
        <v>5759</v>
      </c>
      <c r="T570" t="s">
        <v>4276</v>
      </c>
      <c r="V570" t="s">
        <v>5767</v>
      </c>
      <c r="W570" t="s">
        <v>5772</v>
      </c>
      <c r="X570" t="s">
        <v>161</v>
      </c>
      <c r="Y570">
        <v>1350</v>
      </c>
      <c r="Z570" t="s">
        <v>5803</v>
      </c>
      <c r="AA570" t="s">
        <v>5804</v>
      </c>
      <c r="AB570" t="s">
        <v>5821</v>
      </c>
      <c r="AC570" t="s">
        <v>6371</v>
      </c>
      <c r="AE570" t="s">
        <v>8373</v>
      </c>
      <c r="AF570">
        <v>3</v>
      </c>
      <c r="AG570" t="s">
        <v>9269</v>
      </c>
      <c r="AH570" t="s">
        <v>4280</v>
      </c>
      <c r="AI570">
        <v>1</v>
      </c>
      <c r="AJ570">
        <v>3</v>
      </c>
      <c r="AK570">
        <v>0</v>
      </c>
      <c r="AL570">
        <v>164.09</v>
      </c>
      <c r="AO570" t="s">
        <v>9298</v>
      </c>
      <c r="AP570">
        <v>35000</v>
      </c>
      <c r="AV570">
        <v>1.05</v>
      </c>
      <c r="AW570" t="s">
        <v>64</v>
      </c>
    </row>
    <row r="571" spans="1:49">
      <c r="A571" s="1">
        <f>HYPERLINK("https://cms.ls-nyc.org/matter/dynamic-profile/view/1883063","18-1883063")</f>
        <v>0</v>
      </c>
      <c r="B571" t="s">
        <v>64</v>
      </c>
      <c r="C571" t="s">
        <v>82</v>
      </c>
      <c r="D571" t="s">
        <v>223</v>
      </c>
      <c r="E571" t="s">
        <v>303</v>
      </c>
      <c r="F571" t="s">
        <v>778</v>
      </c>
      <c r="G571" t="s">
        <v>1849</v>
      </c>
      <c r="H571" t="s">
        <v>3025</v>
      </c>
      <c r="I571" t="s">
        <v>4031</v>
      </c>
      <c r="J571" t="s">
        <v>4234</v>
      </c>
      <c r="K571">
        <v>11105</v>
      </c>
      <c r="L571" t="s">
        <v>4275</v>
      </c>
      <c r="M571" t="s">
        <v>4275</v>
      </c>
      <c r="O571" t="s">
        <v>4282</v>
      </c>
      <c r="P571" t="s">
        <v>4834</v>
      </c>
      <c r="Q571" t="s">
        <v>5731</v>
      </c>
      <c r="R571" t="s">
        <v>5753</v>
      </c>
      <c r="S571" t="s">
        <v>5759</v>
      </c>
      <c r="T571" t="s">
        <v>4276</v>
      </c>
      <c r="V571" t="s">
        <v>5767</v>
      </c>
      <c r="W571" t="s">
        <v>5772</v>
      </c>
      <c r="X571" t="s">
        <v>223</v>
      </c>
      <c r="Y571">
        <v>1095</v>
      </c>
      <c r="Z571" t="s">
        <v>5803</v>
      </c>
      <c r="AA571" t="s">
        <v>5804</v>
      </c>
      <c r="AB571" t="s">
        <v>5821</v>
      </c>
      <c r="AC571" t="s">
        <v>6372</v>
      </c>
      <c r="AE571" t="s">
        <v>8374</v>
      </c>
      <c r="AF571">
        <v>16</v>
      </c>
      <c r="AG571" t="s">
        <v>9272</v>
      </c>
      <c r="AH571" t="s">
        <v>4280</v>
      </c>
      <c r="AI571">
        <v>26</v>
      </c>
      <c r="AJ571">
        <v>1</v>
      </c>
      <c r="AK571">
        <v>0</v>
      </c>
      <c r="AL571">
        <v>164.74</v>
      </c>
      <c r="AO571" t="s">
        <v>1425</v>
      </c>
      <c r="AP571">
        <v>20000</v>
      </c>
      <c r="AV571">
        <v>1.5</v>
      </c>
      <c r="AW571" t="s">
        <v>73</v>
      </c>
    </row>
    <row r="572" spans="1:49">
      <c r="A572" s="1">
        <f>HYPERLINK("https://cms.ls-nyc.org/matter/dynamic-profile/view/1879549","18-1879549")</f>
        <v>0</v>
      </c>
      <c r="B572" t="s">
        <v>64</v>
      </c>
      <c r="C572" t="s">
        <v>83</v>
      </c>
      <c r="D572" t="s">
        <v>128</v>
      </c>
      <c r="F572" t="s">
        <v>376</v>
      </c>
      <c r="G572" t="s">
        <v>1850</v>
      </c>
      <c r="H572" t="s">
        <v>3026</v>
      </c>
      <c r="I572" t="s">
        <v>3867</v>
      </c>
      <c r="J572" t="s">
        <v>4236</v>
      </c>
      <c r="K572">
        <v>11416</v>
      </c>
      <c r="L572" t="s">
        <v>4275</v>
      </c>
      <c r="M572" t="s">
        <v>4275</v>
      </c>
      <c r="O572" t="s">
        <v>4282</v>
      </c>
      <c r="P572" t="s">
        <v>4835</v>
      </c>
      <c r="Q572" t="s">
        <v>5732</v>
      </c>
      <c r="R572" t="s">
        <v>5751</v>
      </c>
      <c r="T572" t="s">
        <v>4276</v>
      </c>
      <c r="V572" t="s">
        <v>5767</v>
      </c>
      <c r="W572" t="s">
        <v>5772</v>
      </c>
      <c r="X572" t="s">
        <v>5788</v>
      </c>
      <c r="Y572">
        <v>1515</v>
      </c>
      <c r="Z572" t="s">
        <v>5803</v>
      </c>
      <c r="AA572" t="s">
        <v>5804</v>
      </c>
      <c r="AC572" t="s">
        <v>6373</v>
      </c>
      <c r="AD572" t="s">
        <v>7519</v>
      </c>
      <c r="AE572" t="s">
        <v>8375</v>
      </c>
      <c r="AF572">
        <v>2</v>
      </c>
      <c r="AG572" t="s">
        <v>9269</v>
      </c>
      <c r="AH572" t="s">
        <v>9284</v>
      </c>
      <c r="AI572">
        <v>2</v>
      </c>
      <c r="AJ572">
        <v>1</v>
      </c>
      <c r="AK572">
        <v>0</v>
      </c>
      <c r="AL572">
        <v>167.05</v>
      </c>
      <c r="AO572" t="s">
        <v>9298</v>
      </c>
      <c r="AP572">
        <v>20280</v>
      </c>
      <c r="AR572" t="s">
        <v>9329</v>
      </c>
      <c r="AS572" t="s">
        <v>9336</v>
      </c>
      <c r="AT572" t="s">
        <v>9369</v>
      </c>
      <c r="AU572" t="s">
        <v>9477</v>
      </c>
      <c r="AV572">
        <v>55.84</v>
      </c>
      <c r="AW572" t="s">
        <v>54</v>
      </c>
    </row>
    <row r="573" spans="1:49">
      <c r="A573" s="1">
        <f>HYPERLINK("https://cms.ls-nyc.org/matter/dynamic-profile/view/1883283","18-1883283")</f>
        <v>0</v>
      </c>
      <c r="B573" t="s">
        <v>64</v>
      </c>
      <c r="C573" t="s">
        <v>82</v>
      </c>
      <c r="D573" t="s">
        <v>145</v>
      </c>
      <c r="E573" t="s">
        <v>164</v>
      </c>
      <c r="F573" t="s">
        <v>779</v>
      </c>
      <c r="G573" t="s">
        <v>1851</v>
      </c>
      <c r="H573" t="s">
        <v>3027</v>
      </c>
      <c r="I573" t="s">
        <v>4032</v>
      </c>
      <c r="J573" t="s">
        <v>4227</v>
      </c>
      <c r="K573">
        <v>11365</v>
      </c>
      <c r="L573" t="s">
        <v>4275</v>
      </c>
      <c r="M573" t="s">
        <v>4275</v>
      </c>
      <c r="N573" t="s">
        <v>4278</v>
      </c>
      <c r="O573" t="s">
        <v>4282</v>
      </c>
      <c r="P573" t="s">
        <v>4836</v>
      </c>
      <c r="Q573" t="s">
        <v>5732</v>
      </c>
      <c r="R573" t="s">
        <v>5753</v>
      </c>
      <c r="S573" t="s">
        <v>5759</v>
      </c>
      <c r="T573" t="s">
        <v>4276</v>
      </c>
      <c r="V573" t="s">
        <v>5767</v>
      </c>
      <c r="W573" t="s">
        <v>5772</v>
      </c>
      <c r="X573" t="s">
        <v>145</v>
      </c>
      <c r="Y573">
        <v>0</v>
      </c>
      <c r="Z573" t="s">
        <v>5803</v>
      </c>
      <c r="AA573" t="s">
        <v>5804</v>
      </c>
      <c r="AB573" t="s">
        <v>5821</v>
      </c>
      <c r="AC573" t="s">
        <v>6374</v>
      </c>
      <c r="AD573" t="s">
        <v>7289</v>
      </c>
      <c r="AE573" t="s">
        <v>8376</v>
      </c>
      <c r="AF573">
        <v>37</v>
      </c>
      <c r="AG573" t="s">
        <v>9269</v>
      </c>
      <c r="AH573" t="s">
        <v>4280</v>
      </c>
      <c r="AI573">
        <v>3</v>
      </c>
      <c r="AJ573">
        <v>3</v>
      </c>
      <c r="AK573">
        <v>2</v>
      </c>
      <c r="AL573">
        <v>169.95</v>
      </c>
      <c r="AO573" t="s">
        <v>1425</v>
      </c>
      <c r="AP573">
        <v>50000</v>
      </c>
      <c r="AV573">
        <v>5</v>
      </c>
      <c r="AW573" t="s">
        <v>73</v>
      </c>
    </row>
    <row r="574" spans="1:49">
      <c r="A574" s="1">
        <f>HYPERLINK("https://cms.ls-nyc.org/matter/dynamic-profile/view/1894382","19-1894382")</f>
        <v>0</v>
      </c>
      <c r="B574" t="s">
        <v>64</v>
      </c>
      <c r="C574" t="s">
        <v>83</v>
      </c>
      <c r="D574" t="s">
        <v>121</v>
      </c>
      <c r="F574" t="s">
        <v>780</v>
      </c>
      <c r="G574" t="s">
        <v>1852</v>
      </c>
      <c r="H574" t="s">
        <v>3028</v>
      </c>
      <c r="I574" t="s">
        <v>3991</v>
      </c>
      <c r="J574" t="s">
        <v>4222</v>
      </c>
      <c r="K574">
        <v>11434</v>
      </c>
      <c r="L574" t="s">
        <v>4275</v>
      </c>
      <c r="M574" t="s">
        <v>4275</v>
      </c>
      <c r="N574" t="s">
        <v>4278</v>
      </c>
      <c r="O574" t="s">
        <v>4281</v>
      </c>
      <c r="P574" t="s">
        <v>4837</v>
      </c>
      <c r="Q574" t="s">
        <v>5731</v>
      </c>
      <c r="R574" t="s">
        <v>5751</v>
      </c>
      <c r="T574" t="s">
        <v>4276</v>
      </c>
      <c r="V574" t="s">
        <v>5767</v>
      </c>
      <c r="W574" t="s">
        <v>5772</v>
      </c>
      <c r="X574" t="s">
        <v>159</v>
      </c>
      <c r="Y574">
        <v>1057.1</v>
      </c>
      <c r="Z574" t="s">
        <v>5803</v>
      </c>
      <c r="AA574" t="s">
        <v>5805</v>
      </c>
      <c r="AC574" t="s">
        <v>6375</v>
      </c>
      <c r="AE574" t="s">
        <v>8377</v>
      </c>
      <c r="AF574">
        <v>91</v>
      </c>
      <c r="AG574" t="s">
        <v>9273</v>
      </c>
      <c r="AH574" t="s">
        <v>4280</v>
      </c>
      <c r="AI574">
        <v>28</v>
      </c>
      <c r="AJ574">
        <v>2</v>
      </c>
      <c r="AK574">
        <v>0</v>
      </c>
      <c r="AL574">
        <v>176.7</v>
      </c>
      <c r="AO574" t="s">
        <v>1425</v>
      </c>
      <c r="AP574">
        <v>29880</v>
      </c>
      <c r="AR574" t="s">
        <v>9329</v>
      </c>
      <c r="AS574" t="s">
        <v>9336</v>
      </c>
      <c r="AT574" t="s">
        <v>9369</v>
      </c>
      <c r="AU574" t="s">
        <v>9377</v>
      </c>
      <c r="AV574">
        <v>4.5</v>
      </c>
      <c r="AW574" t="s">
        <v>64</v>
      </c>
    </row>
    <row r="575" spans="1:49">
      <c r="A575" s="1">
        <f>HYPERLINK("https://cms.ls-nyc.org/matter/dynamic-profile/view/1873278","18-1873278")</f>
        <v>0</v>
      </c>
      <c r="B575" t="s">
        <v>64</v>
      </c>
      <c r="C575" t="s">
        <v>82</v>
      </c>
      <c r="D575" t="s">
        <v>86</v>
      </c>
      <c r="E575" t="s">
        <v>303</v>
      </c>
      <c r="F575" t="s">
        <v>781</v>
      </c>
      <c r="G575" t="s">
        <v>1853</v>
      </c>
      <c r="H575" t="s">
        <v>3029</v>
      </c>
      <c r="I575" t="s">
        <v>3952</v>
      </c>
      <c r="J575" t="s">
        <v>4222</v>
      </c>
      <c r="K575">
        <v>11434</v>
      </c>
      <c r="L575" t="s">
        <v>4275</v>
      </c>
      <c r="M575" t="s">
        <v>4275</v>
      </c>
      <c r="O575" t="s">
        <v>4281</v>
      </c>
      <c r="P575" t="s">
        <v>4838</v>
      </c>
      <c r="Q575" t="s">
        <v>5732</v>
      </c>
      <c r="R575" t="s">
        <v>5753</v>
      </c>
      <c r="S575" t="s">
        <v>5759</v>
      </c>
      <c r="T575" t="s">
        <v>4276</v>
      </c>
      <c r="V575" t="s">
        <v>5767</v>
      </c>
      <c r="W575" t="s">
        <v>5772</v>
      </c>
      <c r="X575" t="s">
        <v>86</v>
      </c>
      <c r="Y575">
        <v>1050</v>
      </c>
      <c r="Z575" t="s">
        <v>5803</v>
      </c>
      <c r="AA575" t="s">
        <v>5804</v>
      </c>
      <c r="AB575" t="s">
        <v>5821</v>
      </c>
      <c r="AC575" t="s">
        <v>6376</v>
      </c>
      <c r="AE575" t="s">
        <v>8378</v>
      </c>
      <c r="AF575">
        <v>3</v>
      </c>
      <c r="AG575" t="s">
        <v>9269</v>
      </c>
      <c r="AH575" t="s">
        <v>4280</v>
      </c>
      <c r="AI575">
        <v>17</v>
      </c>
      <c r="AJ575">
        <v>2</v>
      </c>
      <c r="AK575">
        <v>0</v>
      </c>
      <c r="AL575">
        <v>182.26</v>
      </c>
      <c r="AO575" t="s">
        <v>1425</v>
      </c>
      <c r="AP575">
        <v>30000</v>
      </c>
      <c r="AV575">
        <v>0.83</v>
      </c>
      <c r="AW575" t="s">
        <v>73</v>
      </c>
    </row>
    <row r="576" spans="1:49">
      <c r="A576" s="1">
        <f>HYPERLINK("https://cms.ls-nyc.org/matter/dynamic-profile/view/1893945","19-1893945")</f>
        <v>0</v>
      </c>
      <c r="B576" t="s">
        <v>64</v>
      </c>
      <c r="C576" t="s">
        <v>83</v>
      </c>
      <c r="D576" t="s">
        <v>96</v>
      </c>
      <c r="F576" t="s">
        <v>475</v>
      </c>
      <c r="G576" t="s">
        <v>1385</v>
      </c>
      <c r="H576" t="s">
        <v>2658</v>
      </c>
      <c r="J576" t="s">
        <v>4241</v>
      </c>
      <c r="K576">
        <v>11368</v>
      </c>
      <c r="L576" t="s">
        <v>4275</v>
      </c>
      <c r="M576" t="s">
        <v>4275</v>
      </c>
      <c r="O576" t="s">
        <v>4283</v>
      </c>
      <c r="P576" t="s">
        <v>4457</v>
      </c>
      <c r="Q576" t="s">
        <v>5731</v>
      </c>
      <c r="R576" t="s">
        <v>5751</v>
      </c>
      <c r="T576" t="s">
        <v>4276</v>
      </c>
      <c r="V576" t="s">
        <v>5767</v>
      </c>
      <c r="W576" t="s">
        <v>5771</v>
      </c>
      <c r="X576" t="s">
        <v>96</v>
      </c>
      <c r="Y576">
        <v>2010</v>
      </c>
      <c r="Z576" t="s">
        <v>5803</v>
      </c>
      <c r="AA576" t="s">
        <v>5804</v>
      </c>
      <c r="AC576" t="s">
        <v>6001</v>
      </c>
      <c r="AE576" t="s">
        <v>8009</v>
      </c>
      <c r="AF576">
        <v>232</v>
      </c>
      <c r="AG576" t="s">
        <v>9272</v>
      </c>
      <c r="AH576" t="s">
        <v>4280</v>
      </c>
      <c r="AI576">
        <v>1</v>
      </c>
      <c r="AJ576">
        <v>1</v>
      </c>
      <c r="AK576">
        <v>2</v>
      </c>
      <c r="AL576">
        <v>183.33</v>
      </c>
      <c r="AO576" t="s">
        <v>1425</v>
      </c>
      <c r="AP576">
        <v>39104</v>
      </c>
      <c r="AV576">
        <v>28.6</v>
      </c>
      <c r="AW576" t="s">
        <v>54</v>
      </c>
    </row>
    <row r="577" spans="1:49">
      <c r="A577" s="1">
        <f>HYPERLINK("https://cms.ls-nyc.org/matter/dynamic-profile/view/1878762","18-1878762")</f>
        <v>0</v>
      </c>
      <c r="B577" t="s">
        <v>64</v>
      </c>
      <c r="C577" t="s">
        <v>83</v>
      </c>
      <c r="D577" t="s">
        <v>215</v>
      </c>
      <c r="F577" t="s">
        <v>782</v>
      </c>
      <c r="G577" t="s">
        <v>1854</v>
      </c>
      <c r="H577" t="s">
        <v>3030</v>
      </c>
      <c r="I577" t="s">
        <v>3841</v>
      </c>
      <c r="J577" t="s">
        <v>4253</v>
      </c>
      <c r="K577">
        <v>11422</v>
      </c>
      <c r="L577" t="s">
        <v>4275</v>
      </c>
      <c r="M577" t="s">
        <v>4275</v>
      </c>
      <c r="N577" t="s">
        <v>4278</v>
      </c>
      <c r="O577" t="s">
        <v>4282</v>
      </c>
      <c r="P577" t="s">
        <v>4839</v>
      </c>
      <c r="Q577" t="s">
        <v>5732</v>
      </c>
      <c r="R577" t="s">
        <v>5751</v>
      </c>
      <c r="T577" t="s">
        <v>4276</v>
      </c>
      <c r="V577" t="s">
        <v>5767</v>
      </c>
      <c r="W577" t="s">
        <v>5772</v>
      </c>
      <c r="X577" t="s">
        <v>245</v>
      </c>
      <c r="Y577">
        <v>700</v>
      </c>
      <c r="Z577" t="s">
        <v>5803</v>
      </c>
      <c r="AA577" t="s">
        <v>5804</v>
      </c>
      <c r="AC577" t="s">
        <v>6377</v>
      </c>
      <c r="AE577" t="s">
        <v>8379</v>
      </c>
      <c r="AF577">
        <v>2</v>
      </c>
      <c r="AG577" t="s">
        <v>9269</v>
      </c>
      <c r="AH577" t="s">
        <v>4280</v>
      </c>
      <c r="AI577">
        <v>25</v>
      </c>
      <c r="AJ577">
        <v>2</v>
      </c>
      <c r="AK577">
        <v>2</v>
      </c>
      <c r="AL577">
        <v>187.25</v>
      </c>
      <c r="AO577" t="s">
        <v>9314</v>
      </c>
      <c r="AP577">
        <v>47000</v>
      </c>
      <c r="AR577" t="s">
        <v>9329</v>
      </c>
      <c r="AS577" t="s">
        <v>9336</v>
      </c>
      <c r="AT577" t="s">
        <v>9369</v>
      </c>
      <c r="AU577" t="s">
        <v>9478</v>
      </c>
      <c r="AV577">
        <v>21.8</v>
      </c>
      <c r="AW577" t="s">
        <v>74</v>
      </c>
    </row>
    <row r="578" spans="1:49">
      <c r="A578" s="1">
        <f>HYPERLINK("https://cms.ls-nyc.org/matter/dynamic-profile/view/1895278","19-1895278")</f>
        <v>0</v>
      </c>
      <c r="B578" t="s">
        <v>64</v>
      </c>
      <c r="C578" t="s">
        <v>83</v>
      </c>
      <c r="D578" t="s">
        <v>238</v>
      </c>
      <c r="F578" t="s">
        <v>783</v>
      </c>
      <c r="G578" t="s">
        <v>1736</v>
      </c>
      <c r="H578" t="s">
        <v>3031</v>
      </c>
      <c r="I578">
        <v>552</v>
      </c>
      <c r="J578" t="s">
        <v>4229</v>
      </c>
      <c r="K578">
        <v>11367</v>
      </c>
      <c r="L578" t="s">
        <v>4275</v>
      </c>
      <c r="M578" t="s">
        <v>4275</v>
      </c>
      <c r="N578" t="s">
        <v>4278</v>
      </c>
      <c r="O578" t="s">
        <v>4283</v>
      </c>
      <c r="P578" t="s">
        <v>4840</v>
      </c>
      <c r="Q578" t="s">
        <v>5731</v>
      </c>
      <c r="R578" t="s">
        <v>5751</v>
      </c>
      <c r="T578" t="s">
        <v>4276</v>
      </c>
      <c r="V578" t="s">
        <v>5767</v>
      </c>
      <c r="W578" t="s">
        <v>5774</v>
      </c>
      <c r="X578" t="s">
        <v>238</v>
      </c>
      <c r="Y578">
        <v>2900</v>
      </c>
      <c r="Z578" t="s">
        <v>5803</v>
      </c>
      <c r="AA578" t="s">
        <v>5804</v>
      </c>
      <c r="AC578" t="s">
        <v>6378</v>
      </c>
      <c r="AD578" t="s">
        <v>7520</v>
      </c>
      <c r="AE578" t="s">
        <v>8380</v>
      </c>
      <c r="AF578">
        <v>393</v>
      </c>
      <c r="AG578" t="s">
        <v>9272</v>
      </c>
      <c r="AH578" t="s">
        <v>4280</v>
      </c>
      <c r="AI578">
        <v>3</v>
      </c>
      <c r="AJ578">
        <v>1</v>
      </c>
      <c r="AK578">
        <v>0</v>
      </c>
      <c r="AL578">
        <v>192.15</v>
      </c>
      <c r="AO578" t="s">
        <v>1425</v>
      </c>
      <c r="AP578">
        <v>24000</v>
      </c>
      <c r="AV578">
        <v>36.85</v>
      </c>
      <c r="AW578" t="s">
        <v>64</v>
      </c>
    </row>
    <row r="579" spans="1:49">
      <c r="A579" s="1">
        <f>HYPERLINK("https://cms.ls-nyc.org/matter/dynamic-profile/view/1899992","19-1899992")</f>
        <v>0</v>
      </c>
      <c r="B579" t="s">
        <v>64</v>
      </c>
      <c r="C579" t="s">
        <v>83</v>
      </c>
      <c r="D579" t="s">
        <v>99</v>
      </c>
      <c r="F579" t="s">
        <v>784</v>
      </c>
      <c r="G579" t="s">
        <v>1855</v>
      </c>
      <c r="H579" t="s">
        <v>3032</v>
      </c>
      <c r="I579" t="s">
        <v>3892</v>
      </c>
      <c r="J579" t="s">
        <v>4232</v>
      </c>
      <c r="K579">
        <v>11104</v>
      </c>
      <c r="L579" t="s">
        <v>4275</v>
      </c>
      <c r="M579" t="s">
        <v>4277</v>
      </c>
      <c r="N579" t="s">
        <v>4278</v>
      </c>
      <c r="O579" t="s">
        <v>4283</v>
      </c>
      <c r="P579" t="s">
        <v>4841</v>
      </c>
      <c r="Q579" t="s">
        <v>5732</v>
      </c>
      <c r="R579" t="s">
        <v>5751</v>
      </c>
      <c r="T579" t="s">
        <v>4276</v>
      </c>
      <c r="V579" t="s">
        <v>5767</v>
      </c>
      <c r="W579" t="s">
        <v>5777</v>
      </c>
      <c r="X579" t="s">
        <v>99</v>
      </c>
      <c r="Y579">
        <v>1621</v>
      </c>
      <c r="Z579" t="s">
        <v>5803</v>
      </c>
      <c r="AA579" t="s">
        <v>5804</v>
      </c>
      <c r="AC579" t="s">
        <v>5897</v>
      </c>
      <c r="AE579" t="s">
        <v>8381</v>
      </c>
      <c r="AF579">
        <v>96</v>
      </c>
      <c r="AG579" t="s">
        <v>9272</v>
      </c>
      <c r="AH579" t="s">
        <v>4280</v>
      </c>
      <c r="AI579">
        <v>13</v>
      </c>
      <c r="AJ579">
        <v>2</v>
      </c>
      <c r="AK579">
        <v>1</v>
      </c>
      <c r="AL579">
        <v>195.03</v>
      </c>
      <c r="AO579" t="s">
        <v>1425</v>
      </c>
      <c r="AP579">
        <v>41600</v>
      </c>
      <c r="AV579">
        <v>22.75</v>
      </c>
      <c r="AW579" t="s">
        <v>54</v>
      </c>
    </row>
    <row r="580" spans="1:49">
      <c r="A580" s="1">
        <f>HYPERLINK("https://cms.ls-nyc.org/matter/dynamic-profile/view/1883986","18-1883986")</f>
        <v>0</v>
      </c>
      <c r="B580" t="s">
        <v>64</v>
      </c>
      <c r="C580" t="s">
        <v>82</v>
      </c>
      <c r="D580" t="s">
        <v>86</v>
      </c>
      <c r="E580" t="s">
        <v>303</v>
      </c>
      <c r="F580" t="s">
        <v>785</v>
      </c>
      <c r="G580" t="s">
        <v>1856</v>
      </c>
      <c r="H580" t="s">
        <v>3033</v>
      </c>
      <c r="I580" t="s">
        <v>4033</v>
      </c>
      <c r="J580" t="s">
        <v>4223</v>
      </c>
      <c r="K580">
        <v>11423</v>
      </c>
      <c r="L580" t="s">
        <v>4275</v>
      </c>
      <c r="M580" t="s">
        <v>4275</v>
      </c>
      <c r="O580" t="s">
        <v>4282</v>
      </c>
      <c r="P580" t="s">
        <v>4842</v>
      </c>
      <c r="Q580" t="s">
        <v>5732</v>
      </c>
      <c r="R580" t="s">
        <v>5753</v>
      </c>
      <c r="S580" t="s">
        <v>5759</v>
      </c>
      <c r="T580" t="s">
        <v>4276</v>
      </c>
      <c r="V580" t="s">
        <v>5767</v>
      </c>
      <c r="W580" t="s">
        <v>5772</v>
      </c>
      <c r="X580" t="s">
        <v>86</v>
      </c>
      <c r="Y580">
        <v>1137</v>
      </c>
      <c r="Z580" t="s">
        <v>5803</v>
      </c>
      <c r="AA580" t="s">
        <v>5804</v>
      </c>
      <c r="AB580" t="s">
        <v>5821</v>
      </c>
      <c r="AC580" t="s">
        <v>6379</v>
      </c>
      <c r="AD580" t="s">
        <v>7521</v>
      </c>
      <c r="AE580" t="s">
        <v>8382</v>
      </c>
      <c r="AF580">
        <v>96</v>
      </c>
      <c r="AG580" t="s">
        <v>9272</v>
      </c>
      <c r="AH580" t="s">
        <v>4280</v>
      </c>
      <c r="AI580">
        <v>3</v>
      </c>
      <c r="AJ580">
        <v>2</v>
      </c>
      <c r="AK580">
        <v>0</v>
      </c>
      <c r="AL580">
        <v>297.38</v>
      </c>
      <c r="AO580" t="s">
        <v>1425</v>
      </c>
      <c r="AP580">
        <v>48948</v>
      </c>
      <c r="AV580">
        <v>1.11</v>
      </c>
      <c r="AW580" t="s">
        <v>73</v>
      </c>
    </row>
    <row r="581" spans="1:49">
      <c r="A581" s="1">
        <f>HYPERLINK("https://cms.ls-nyc.org/matter/dynamic-profile/view/1879490","18-1879490")</f>
        <v>0</v>
      </c>
      <c r="B581" t="s">
        <v>65</v>
      </c>
      <c r="C581" t="s">
        <v>82</v>
      </c>
      <c r="D581" t="s">
        <v>128</v>
      </c>
      <c r="E581" t="s">
        <v>229</v>
      </c>
      <c r="F581" t="s">
        <v>786</v>
      </c>
      <c r="G581" t="s">
        <v>1857</v>
      </c>
      <c r="H581" t="s">
        <v>3034</v>
      </c>
      <c r="I581">
        <v>301</v>
      </c>
      <c r="J581" t="s">
        <v>4254</v>
      </c>
      <c r="K581">
        <v>11692</v>
      </c>
      <c r="L581" t="s">
        <v>4275</v>
      </c>
      <c r="M581" t="s">
        <v>4275</v>
      </c>
      <c r="O581" t="s">
        <v>4283</v>
      </c>
      <c r="P581" t="s">
        <v>4843</v>
      </c>
      <c r="Q581" t="s">
        <v>5731</v>
      </c>
      <c r="R581" t="s">
        <v>5753</v>
      </c>
      <c r="S581" t="s">
        <v>5759</v>
      </c>
      <c r="T581" t="s">
        <v>4276</v>
      </c>
      <c r="V581" t="s">
        <v>5767</v>
      </c>
      <c r="W581" t="s">
        <v>5772</v>
      </c>
      <c r="X581" t="s">
        <v>128</v>
      </c>
      <c r="Y581">
        <v>2181</v>
      </c>
      <c r="Z581" t="s">
        <v>5803</v>
      </c>
      <c r="AA581" t="s">
        <v>5804</v>
      </c>
      <c r="AB581" t="s">
        <v>5821</v>
      </c>
      <c r="AC581" t="s">
        <v>6380</v>
      </c>
      <c r="AD581" t="s">
        <v>7522</v>
      </c>
      <c r="AE581" t="s">
        <v>8383</v>
      </c>
      <c r="AF581">
        <v>8</v>
      </c>
      <c r="AG581" t="s">
        <v>9272</v>
      </c>
      <c r="AH581" t="s">
        <v>9282</v>
      </c>
      <c r="AI581">
        <v>5</v>
      </c>
      <c r="AJ581">
        <v>1</v>
      </c>
      <c r="AK581">
        <v>2</v>
      </c>
      <c r="AL581">
        <v>0</v>
      </c>
      <c r="AO581" t="s">
        <v>1425</v>
      </c>
      <c r="AP581">
        <v>0</v>
      </c>
      <c r="AV581">
        <v>0.6</v>
      </c>
      <c r="AW581" t="s">
        <v>74</v>
      </c>
    </row>
    <row r="582" spans="1:49">
      <c r="A582" s="1">
        <f>HYPERLINK("https://cms.ls-nyc.org/matter/dynamic-profile/view/1895286","19-1895286")</f>
        <v>0</v>
      </c>
      <c r="B582" t="s">
        <v>65</v>
      </c>
      <c r="C582" t="s">
        <v>83</v>
      </c>
      <c r="D582" t="s">
        <v>238</v>
      </c>
      <c r="F582" t="s">
        <v>344</v>
      </c>
      <c r="G582" t="s">
        <v>1858</v>
      </c>
      <c r="H582" t="s">
        <v>3035</v>
      </c>
      <c r="I582" t="s">
        <v>4034</v>
      </c>
      <c r="J582" t="s">
        <v>4243</v>
      </c>
      <c r="K582">
        <v>11691</v>
      </c>
      <c r="L582" t="s">
        <v>4275</v>
      </c>
      <c r="M582" t="s">
        <v>4275</v>
      </c>
      <c r="O582" t="s">
        <v>4283</v>
      </c>
      <c r="Q582" t="s">
        <v>4698</v>
      </c>
      <c r="R582" t="s">
        <v>5754</v>
      </c>
      <c r="T582" t="s">
        <v>4276</v>
      </c>
      <c r="V582" t="s">
        <v>5767</v>
      </c>
      <c r="X582" t="s">
        <v>218</v>
      </c>
      <c r="Y582">
        <v>1233</v>
      </c>
      <c r="Z582" t="s">
        <v>5803</v>
      </c>
      <c r="AC582" t="s">
        <v>6381</v>
      </c>
      <c r="AE582" t="s">
        <v>8384</v>
      </c>
      <c r="AF582">
        <v>917</v>
      </c>
      <c r="AG582" t="s">
        <v>9272</v>
      </c>
      <c r="AH582" t="s">
        <v>9282</v>
      </c>
      <c r="AI582">
        <v>10</v>
      </c>
      <c r="AJ582">
        <v>1</v>
      </c>
      <c r="AK582">
        <v>0</v>
      </c>
      <c r="AL582">
        <v>0</v>
      </c>
      <c r="AO582" t="s">
        <v>1425</v>
      </c>
      <c r="AP582">
        <v>0</v>
      </c>
      <c r="AV582">
        <v>1.2</v>
      </c>
      <c r="AW582" t="s">
        <v>65</v>
      </c>
    </row>
    <row r="583" spans="1:49">
      <c r="A583" s="1">
        <f>HYPERLINK("https://cms.ls-nyc.org/matter/dynamic-profile/view/1878223","18-1878223")</f>
        <v>0</v>
      </c>
      <c r="B583" t="s">
        <v>65</v>
      </c>
      <c r="C583" t="s">
        <v>82</v>
      </c>
      <c r="D583" t="s">
        <v>137</v>
      </c>
      <c r="E583" t="s">
        <v>146</v>
      </c>
      <c r="F583" t="s">
        <v>490</v>
      </c>
      <c r="G583" t="s">
        <v>1859</v>
      </c>
      <c r="H583" t="s">
        <v>2725</v>
      </c>
      <c r="I583" t="s">
        <v>3982</v>
      </c>
      <c r="J583" t="s">
        <v>4243</v>
      </c>
      <c r="K583">
        <v>11691</v>
      </c>
      <c r="L583" t="s">
        <v>4275</v>
      </c>
      <c r="M583" t="s">
        <v>4275</v>
      </c>
      <c r="O583" t="s">
        <v>4283</v>
      </c>
      <c r="P583" t="s">
        <v>4844</v>
      </c>
      <c r="Q583" t="s">
        <v>5731</v>
      </c>
      <c r="R583" t="s">
        <v>5753</v>
      </c>
      <c r="S583" t="s">
        <v>5759</v>
      </c>
      <c r="T583" t="s">
        <v>4276</v>
      </c>
      <c r="V583" t="s">
        <v>5767</v>
      </c>
      <c r="W583" t="s">
        <v>5772</v>
      </c>
      <c r="X583" t="s">
        <v>188</v>
      </c>
      <c r="Y583">
        <v>1515</v>
      </c>
      <c r="Z583" t="s">
        <v>5803</v>
      </c>
      <c r="AA583" t="s">
        <v>5804</v>
      </c>
      <c r="AB583" t="s">
        <v>5821</v>
      </c>
      <c r="AC583" t="s">
        <v>6382</v>
      </c>
      <c r="AD583" t="s">
        <v>7523</v>
      </c>
      <c r="AE583" t="s">
        <v>8385</v>
      </c>
      <c r="AF583">
        <v>27</v>
      </c>
      <c r="AG583" t="s">
        <v>9272</v>
      </c>
      <c r="AH583" t="s">
        <v>9283</v>
      </c>
      <c r="AI583">
        <v>2</v>
      </c>
      <c r="AJ583">
        <v>1</v>
      </c>
      <c r="AK583">
        <v>3</v>
      </c>
      <c r="AL583">
        <v>0</v>
      </c>
      <c r="AO583" t="s">
        <v>1425</v>
      </c>
      <c r="AP583">
        <v>0</v>
      </c>
      <c r="AV583">
        <v>1.1</v>
      </c>
      <c r="AW583" t="s">
        <v>65</v>
      </c>
    </row>
    <row r="584" spans="1:49">
      <c r="A584" s="1">
        <f>HYPERLINK("https://cms.ls-nyc.org/matter/dynamic-profile/view/1877974","18-1877974")</f>
        <v>0</v>
      </c>
      <c r="B584" t="s">
        <v>65</v>
      </c>
      <c r="C584" t="s">
        <v>83</v>
      </c>
      <c r="D584" t="s">
        <v>126</v>
      </c>
      <c r="F584" t="s">
        <v>787</v>
      </c>
      <c r="G584" t="s">
        <v>1825</v>
      </c>
      <c r="H584" t="s">
        <v>3036</v>
      </c>
      <c r="I584" t="s">
        <v>3909</v>
      </c>
      <c r="J584" t="s">
        <v>4222</v>
      </c>
      <c r="K584">
        <v>11433</v>
      </c>
      <c r="L584" t="s">
        <v>4275</v>
      </c>
      <c r="M584" t="s">
        <v>4275</v>
      </c>
      <c r="O584" t="s">
        <v>4281</v>
      </c>
      <c r="P584" t="s">
        <v>4845</v>
      </c>
      <c r="Q584" t="s">
        <v>5732</v>
      </c>
      <c r="R584" t="s">
        <v>5751</v>
      </c>
      <c r="T584" t="s">
        <v>4276</v>
      </c>
      <c r="V584" t="s">
        <v>5767</v>
      </c>
      <c r="W584" t="s">
        <v>5772</v>
      </c>
      <c r="X584" t="s">
        <v>126</v>
      </c>
      <c r="Y584">
        <v>1956</v>
      </c>
      <c r="Z584" t="s">
        <v>5803</v>
      </c>
      <c r="AA584" t="s">
        <v>5804</v>
      </c>
      <c r="AC584" t="s">
        <v>6383</v>
      </c>
      <c r="AD584" t="s">
        <v>7524</v>
      </c>
      <c r="AE584" t="s">
        <v>8386</v>
      </c>
      <c r="AF584">
        <v>2</v>
      </c>
      <c r="AG584" t="s">
        <v>9269</v>
      </c>
      <c r="AH584" t="s">
        <v>9283</v>
      </c>
      <c r="AI584">
        <v>1</v>
      </c>
      <c r="AJ584">
        <v>3</v>
      </c>
      <c r="AK584">
        <v>4</v>
      </c>
      <c r="AL584">
        <v>0</v>
      </c>
      <c r="AO584" t="s">
        <v>1425</v>
      </c>
      <c r="AP584">
        <v>0</v>
      </c>
      <c r="AV584">
        <v>5.7</v>
      </c>
      <c r="AW584" t="s">
        <v>73</v>
      </c>
    </row>
    <row r="585" spans="1:49">
      <c r="A585" s="1">
        <f>HYPERLINK("https://cms.ls-nyc.org/matter/dynamic-profile/view/1877412","18-1877412")</f>
        <v>0</v>
      </c>
      <c r="B585" t="s">
        <v>65</v>
      </c>
      <c r="C585" t="s">
        <v>83</v>
      </c>
      <c r="D585" t="s">
        <v>181</v>
      </c>
      <c r="F585" t="s">
        <v>788</v>
      </c>
      <c r="G585" t="s">
        <v>1860</v>
      </c>
      <c r="H585" t="s">
        <v>3037</v>
      </c>
      <c r="I585">
        <v>1</v>
      </c>
      <c r="J585" t="s">
        <v>4222</v>
      </c>
      <c r="K585">
        <v>11433</v>
      </c>
      <c r="L585" t="s">
        <v>4275</v>
      </c>
      <c r="M585" t="s">
        <v>4275</v>
      </c>
      <c r="O585" t="s">
        <v>4281</v>
      </c>
      <c r="P585" t="s">
        <v>4846</v>
      </c>
      <c r="Q585" t="s">
        <v>5731</v>
      </c>
      <c r="R585" t="s">
        <v>5752</v>
      </c>
      <c r="T585" t="s">
        <v>4276</v>
      </c>
      <c r="V585" t="s">
        <v>5767</v>
      </c>
      <c r="W585" t="s">
        <v>5773</v>
      </c>
      <c r="X585" t="s">
        <v>181</v>
      </c>
      <c r="Y585">
        <v>2197</v>
      </c>
      <c r="Z585" t="s">
        <v>5803</v>
      </c>
      <c r="AA585" t="s">
        <v>5804</v>
      </c>
      <c r="AC585" t="s">
        <v>6384</v>
      </c>
      <c r="AD585" t="s">
        <v>7525</v>
      </c>
      <c r="AE585" t="s">
        <v>8387</v>
      </c>
      <c r="AF585">
        <v>2</v>
      </c>
      <c r="AG585" t="s">
        <v>9269</v>
      </c>
      <c r="AH585" t="s">
        <v>9284</v>
      </c>
      <c r="AI585">
        <v>2</v>
      </c>
      <c r="AJ585">
        <v>3</v>
      </c>
      <c r="AK585">
        <v>3</v>
      </c>
      <c r="AL585">
        <v>0</v>
      </c>
      <c r="AO585" t="s">
        <v>1425</v>
      </c>
      <c r="AP585">
        <v>0</v>
      </c>
      <c r="AV585">
        <v>0.8</v>
      </c>
      <c r="AW585" t="s">
        <v>54</v>
      </c>
    </row>
    <row r="586" spans="1:49">
      <c r="A586" s="1">
        <f>HYPERLINK("https://cms.ls-nyc.org/matter/dynamic-profile/view/1880080","18-1880080")</f>
        <v>0</v>
      </c>
      <c r="B586" t="s">
        <v>65</v>
      </c>
      <c r="C586" t="s">
        <v>82</v>
      </c>
      <c r="D586" t="s">
        <v>184</v>
      </c>
      <c r="E586" t="s">
        <v>276</v>
      </c>
      <c r="F586" t="s">
        <v>789</v>
      </c>
      <c r="G586" t="s">
        <v>1861</v>
      </c>
      <c r="H586" t="s">
        <v>3038</v>
      </c>
      <c r="I586" t="s">
        <v>3856</v>
      </c>
      <c r="J586" t="s">
        <v>4222</v>
      </c>
      <c r="K586">
        <v>11432</v>
      </c>
      <c r="L586" t="s">
        <v>4275</v>
      </c>
      <c r="M586" t="s">
        <v>4275</v>
      </c>
      <c r="O586" t="s">
        <v>4283</v>
      </c>
      <c r="P586" t="s">
        <v>4847</v>
      </c>
      <c r="Q586" t="s">
        <v>5731</v>
      </c>
      <c r="R586" t="s">
        <v>5753</v>
      </c>
      <c r="S586" t="s">
        <v>5759</v>
      </c>
      <c r="T586" t="s">
        <v>4276</v>
      </c>
      <c r="V586" t="s">
        <v>5767</v>
      </c>
      <c r="W586" t="s">
        <v>5772</v>
      </c>
      <c r="X586" t="s">
        <v>184</v>
      </c>
      <c r="Y586">
        <v>1543</v>
      </c>
      <c r="Z586" t="s">
        <v>5803</v>
      </c>
      <c r="AA586" t="s">
        <v>5804</v>
      </c>
      <c r="AB586" t="s">
        <v>5821</v>
      </c>
      <c r="AC586" t="s">
        <v>6385</v>
      </c>
      <c r="AD586" t="s">
        <v>7526</v>
      </c>
      <c r="AE586" t="s">
        <v>8388</v>
      </c>
      <c r="AF586">
        <v>6</v>
      </c>
      <c r="AG586" t="s">
        <v>9270</v>
      </c>
      <c r="AH586" t="s">
        <v>4280</v>
      </c>
      <c r="AI586">
        <v>6</v>
      </c>
      <c r="AJ586">
        <v>2</v>
      </c>
      <c r="AK586">
        <v>2</v>
      </c>
      <c r="AL586">
        <v>0</v>
      </c>
      <c r="AO586" t="s">
        <v>1425</v>
      </c>
      <c r="AP586">
        <v>0</v>
      </c>
      <c r="AV586">
        <v>0.9</v>
      </c>
      <c r="AW586" t="s">
        <v>73</v>
      </c>
    </row>
    <row r="587" spans="1:49">
      <c r="A587" s="1">
        <f>HYPERLINK("https://cms.ls-nyc.org/matter/dynamic-profile/view/1895163","19-1895163")</f>
        <v>0</v>
      </c>
      <c r="B587" t="s">
        <v>65</v>
      </c>
      <c r="C587" t="s">
        <v>83</v>
      </c>
      <c r="D587" t="s">
        <v>218</v>
      </c>
      <c r="F587" t="s">
        <v>420</v>
      </c>
      <c r="G587" t="s">
        <v>1475</v>
      </c>
      <c r="H587" t="s">
        <v>2599</v>
      </c>
      <c r="I587">
        <v>41</v>
      </c>
      <c r="J587" t="s">
        <v>4222</v>
      </c>
      <c r="K587">
        <v>11432</v>
      </c>
      <c r="L587" t="s">
        <v>4275</v>
      </c>
      <c r="M587" t="s">
        <v>4275</v>
      </c>
      <c r="O587" t="s">
        <v>4283</v>
      </c>
      <c r="P587" t="s">
        <v>4848</v>
      </c>
      <c r="Q587" t="s">
        <v>5731</v>
      </c>
      <c r="R587" t="s">
        <v>5751</v>
      </c>
      <c r="T587" t="s">
        <v>4276</v>
      </c>
      <c r="V587" t="s">
        <v>5767</v>
      </c>
      <c r="W587" t="s">
        <v>5772</v>
      </c>
      <c r="Y587">
        <v>1421.57</v>
      </c>
      <c r="Z587" t="s">
        <v>5803</v>
      </c>
      <c r="AA587" t="s">
        <v>5807</v>
      </c>
      <c r="AC587" t="s">
        <v>5940</v>
      </c>
      <c r="AE587" t="s">
        <v>7948</v>
      </c>
      <c r="AF587">
        <v>36</v>
      </c>
      <c r="AG587" t="s">
        <v>9272</v>
      </c>
      <c r="AI587">
        <v>26</v>
      </c>
      <c r="AJ587">
        <v>2</v>
      </c>
      <c r="AK587">
        <v>0</v>
      </c>
      <c r="AL587">
        <v>0</v>
      </c>
      <c r="AO587" t="s">
        <v>1425</v>
      </c>
      <c r="AP587">
        <v>0</v>
      </c>
      <c r="AV587">
        <v>18.75</v>
      </c>
      <c r="AW587" t="s">
        <v>65</v>
      </c>
    </row>
    <row r="588" spans="1:49">
      <c r="A588" s="1">
        <f>HYPERLINK("https://cms.ls-nyc.org/matter/dynamic-profile/view/1878169","18-1878169")</f>
        <v>0</v>
      </c>
      <c r="B588" t="s">
        <v>65</v>
      </c>
      <c r="C588" t="s">
        <v>82</v>
      </c>
      <c r="D588" t="s">
        <v>188</v>
      </c>
      <c r="E588" t="s">
        <v>305</v>
      </c>
      <c r="F588" t="s">
        <v>790</v>
      </c>
      <c r="G588" t="s">
        <v>1862</v>
      </c>
      <c r="H588" t="s">
        <v>3039</v>
      </c>
      <c r="J588" t="s">
        <v>4266</v>
      </c>
      <c r="K588">
        <v>11427</v>
      </c>
      <c r="L588" t="s">
        <v>4275</v>
      </c>
      <c r="M588" t="s">
        <v>4275</v>
      </c>
      <c r="O588" t="s">
        <v>4283</v>
      </c>
      <c r="P588" t="s">
        <v>4849</v>
      </c>
      <c r="Q588" t="s">
        <v>5732</v>
      </c>
      <c r="R588" t="s">
        <v>5753</v>
      </c>
      <c r="S588" t="s">
        <v>5759</v>
      </c>
      <c r="T588" t="s">
        <v>4276</v>
      </c>
      <c r="V588" t="s">
        <v>5767</v>
      </c>
      <c r="W588" t="s">
        <v>5772</v>
      </c>
      <c r="X588" t="s">
        <v>188</v>
      </c>
      <c r="Y588">
        <v>0</v>
      </c>
      <c r="Z588" t="s">
        <v>5803</v>
      </c>
      <c r="AA588" t="s">
        <v>5804</v>
      </c>
      <c r="AB588" t="s">
        <v>5821</v>
      </c>
      <c r="AC588" t="s">
        <v>6386</v>
      </c>
      <c r="AE588" t="s">
        <v>8389</v>
      </c>
      <c r="AF588">
        <v>2</v>
      </c>
      <c r="AG588" t="s">
        <v>9269</v>
      </c>
      <c r="AH588" t="s">
        <v>4280</v>
      </c>
      <c r="AI588">
        <v>22</v>
      </c>
      <c r="AJ588">
        <v>2</v>
      </c>
      <c r="AK588">
        <v>2</v>
      </c>
      <c r="AL588">
        <v>0</v>
      </c>
      <c r="AO588" t="s">
        <v>1425</v>
      </c>
      <c r="AP588">
        <v>0</v>
      </c>
      <c r="AV588">
        <v>1</v>
      </c>
      <c r="AW588" t="s">
        <v>54</v>
      </c>
    </row>
    <row r="589" spans="1:49">
      <c r="A589" s="1">
        <f>HYPERLINK("https://cms.ls-nyc.org/matter/dynamic-profile/view/1889192","19-1889192")</f>
        <v>0</v>
      </c>
      <c r="B589" t="s">
        <v>65</v>
      </c>
      <c r="C589" t="s">
        <v>82</v>
      </c>
      <c r="D589" t="s">
        <v>239</v>
      </c>
      <c r="E589" t="s">
        <v>209</v>
      </c>
      <c r="F589" t="s">
        <v>376</v>
      </c>
      <c r="G589" t="s">
        <v>1652</v>
      </c>
      <c r="H589" t="s">
        <v>3040</v>
      </c>
      <c r="I589" t="s">
        <v>3909</v>
      </c>
      <c r="J589" t="s">
        <v>4235</v>
      </c>
      <c r="K589">
        <v>11421</v>
      </c>
      <c r="L589" t="s">
        <v>4275</v>
      </c>
      <c r="M589" t="s">
        <v>4275</v>
      </c>
      <c r="O589" t="s">
        <v>4284</v>
      </c>
      <c r="P589" t="s">
        <v>4698</v>
      </c>
      <c r="Q589" t="s">
        <v>4698</v>
      </c>
      <c r="R589" t="s">
        <v>5754</v>
      </c>
      <c r="S589" t="s">
        <v>5759</v>
      </c>
      <c r="T589" t="s">
        <v>4276</v>
      </c>
      <c r="V589" t="s">
        <v>5767</v>
      </c>
      <c r="W589" t="s">
        <v>5772</v>
      </c>
      <c r="X589" t="s">
        <v>198</v>
      </c>
      <c r="Y589">
        <v>0</v>
      </c>
      <c r="Z589" t="s">
        <v>5803</v>
      </c>
      <c r="AA589" t="s">
        <v>5815</v>
      </c>
      <c r="AB589" t="s">
        <v>5821</v>
      </c>
      <c r="AC589" t="s">
        <v>5879</v>
      </c>
      <c r="AD589" t="s">
        <v>7289</v>
      </c>
      <c r="AE589" t="s">
        <v>7289</v>
      </c>
      <c r="AF589">
        <v>1</v>
      </c>
      <c r="AG589" t="s">
        <v>9269</v>
      </c>
      <c r="AH589" t="s">
        <v>4280</v>
      </c>
      <c r="AI589">
        <v>0</v>
      </c>
      <c r="AJ589">
        <v>1</v>
      </c>
      <c r="AK589">
        <v>2</v>
      </c>
      <c r="AL589">
        <v>0</v>
      </c>
      <c r="AM589" t="s">
        <v>9291</v>
      </c>
      <c r="AN589" t="s">
        <v>9295</v>
      </c>
      <c r="AO589" t="s">
        <v>9298</v>
      </c>
      <c r="AP589">
        <v>0</v>
      </c>
      <c r="AV589">
        <v>0.25</v>
      </c>
      <c r="AW589" t="s">
        <v>73</v>
      </c>
    </row>
    <row r="590" spans="1:49">
      <c r="A590" s="1">
        <f>HYPERLINK("https://cms.ls-nyc.org/matter/dynamic-profile/view/1882034","18-1882034")</f>
        <v>0</v>
      </c>
      <c r="B590" t="s">
        <v>65</v>
      </c>
      <c r="C590" t="s">
        <v>83</v>
      </c>
      <c r="D590" t="s">
        <v>201</v>
      </c>
      <c r="F590" t="s">
        <v>791</v>
      </c>
      <c r="G590" t="s">
        <v>1863</v>
      </c>
      <c r="H590" t="s">
        <v>3041</v>
      </c>
      <c r="J590" t="s">
        <v>4250</v>
      </c>
      <c r="K590">
        <v>11412</v>
      </c>
      <c r="L590" t="s">
        <v>4275</v>
      </c>
      <c r="M590" t="s">
        <v>4275</v>
      </c>
      <c r="O590" t="s">
        <v>4282</v>
      </c>
      <c r="P590" t="s">
        <v>4850</v>
      </c>
      <c r="Q590" t="s">
        <v>5732</v>
      </c>
      <c r="R590" t="s">
        <v>5751</v>
      </c>
      <c r="T590" t="s">
        <v>4276</v>
      </c>
      <c r="V590" t="s">
        <v>5767</v>
      </c>
      <c r="W590" t="s">
        <v>5772</v>
      </c>
      <c r="X590" t="s">
        <v>201</v>
      </c>
      <c r="Y590">
        <v>0</v>
      </c>
      <c r="Z590" t="s">
        <v>5803</v>
      </c>
      <c r="AA590" t="s">
        <v>5804</v>
      </c>
      <c r="AC590" t="s">
        <v>6387</v>
      </c>
      <c r="AE590" t="s">
        <v>8390</v>
      </c>
      <c r="AF590">
        <v>1</v>
      </c>
      <c r="AG590" t="s">
        <v>9269</v>
      </c>
      <c r="AH590" t="s">
        <v>4280</v>
      </c>
      <c r="AI590">
        <v>38</v>
      </c>
      <c r="AJ590">
        <v>2</v>
      </c>
      <c r="AK590">
        <v>1</v>
      </c>
      <c r="AL590">
        <v>0</v>
      </c>
      <c r="AO590" t="s">
        <v>1425</v>
      </c>
      <c r="AP590">
        <v>0</v>
      </c>
      <c r="AR590" t="s">
        <v>9329</v>
      </c>
      <c r="AS590" t="s">
        <v>9337</v>
      </c>
      <c r="AT590" t="s">
        <v>9369</v>
      </c>
      <c r="AU590" t="s">
        <v>9479</v>
      </c>
      <c r="AV590">
        <v>10.45</v>
      </c>
      <c r="AW590" t="s">
        <v>54</v>
      </c>
    </row>
    <row r="591" spans="1:49">
      <c r="A591" s="1">
        <f>HYPERLINK("https://cms.ls-nyc.org/matter/dynamic-profile/view/1897717","19-1897717")</f>
        <v>0</v>
      </c>
      <c r="B591" t="s">
        <v>65</v>
      </c>
      <c r="C591" t="s">
        <v>83</v>
      </c>
      <c r="D591" t="s">
        <v>155</v>
      </c>
      <c r="F591" t="s">
        <v>792</v>
      </c>
      <c r="G591" t="s">
        <v>1864</v>
      </c>
      <c r="H591" t="s">
        <v>3042</v>
      </c>
      <c r="I591">
        <v>3</v>
      </c>
      <c r="J591" t="s">
        <v>4251</v>
      </c>
      <c r="K591">
        <v>11377</v>
      </c>
      <c r="L591" t="s">
        <v>4275</v>
      </c>
      <c r="M591" t="s">
        <v>4275</v>
      </c>
      <c r="O591" t="s">
        <v>4284</v>
      </c>
      <c r="Q591" t="s">
        <v>4698</v>
      </c>
      <c r="R591" t="s">
        <v>5754</v>
      </c>
      <c r="T591" t="s">
        <v>4276</v>
      </c>
      <c r="V591" t="s">
        <v>5767</v>
      </c>
      <c r="X591" t="s">
        <v>205</v>
      </c>
      <c r="Y591">
        <v>1700</v>
      </c>
      <c r="Z591" t="s">
        <v>5803</v>
      </c>
      <c r="AA591" t="s">
        <v>5815</v>
      </c>
      <c r="AC591" t="s">
        <v>6388</v>
      </c>
      <c r="AF591">
        <v>0</v>
      </c>
      <c r="AG591" t="s">
        <v>9269</v>
      </c>
      <c r="AI591">
        <v>0</v>
      </c>
      <c r="AJ591">
        <v>1</v>
      </c>
      <c r="AK591">
        <v>1</v>
      </c>
      <c r="AL591">
        <v>0</v>
      </c>
      <c r="AM591" t="s">
        <v>9291</v>
      </c>
      <c r="AN591" t="s">
        <v>9295</v>
      </c>
      <c r="AP591">
        <v>0</v>
      </c>
      <c r="AV591">
        <v>0.4</v>
      </c>
      <c r="AW591" t="s">
        <v>65</v>
      </c>
    </row>
    <row r="592" spans="1:49">
      <c r="A592" s="1">
        <f>HYPERLINK("https://cms.ls-nyc.org/matter/dynamic-profile/view/1897710","19-1897710")</f>
        <v>0</v>
      </c>
      <c r="B592" t="s">
        <v>65</v>
      </c>
      <c r="C592" t="s">
        <v>83</v>
      </c>
      <c r="D592" t="s">
        <v>155</v>
      </c>
      <c r="F592" t="s">
        <v>793</v>
      </c>
      <c r="G592" t="s">
        <v>1697</v>
      </c>
      <c r="H592" t="s">
        <v>3043</v>
      </c>
      <c r="I592" t="s">
        <v>3963</v>
      </c>
      <c r="J592" t="s">
        <v>4252</v>
      </c>
      <c r="K592">
        <v>11374</v>
      </c>
      <c r="L592" t="s">
        <v>4275</v>
      </c>
      <c r="M592" t="s">
        <v>4275</v>
      </c>
      <c r="O592" t="s">
        <v>4284</v>
      </c>
      <c r="Q592" t="s">
        <v>4698</v>
      </c>
      <c r="R592" t="s">
        <v>5754</v>
      </c>
      <c r="T592" t="s">
        <v>4276</v>
      </c>
      <c r="V592" t="s">
        <v>5767</v>
      </c>
      <c r="X592" t="s">
        <v>205</v>
      </c>
      <c r="Y592">
        <v>0</v>
      </c>
      <c r="Z592" t="s">
        <v>5803</v>
      </c>
      <c r="AA592" t="s">
        <v>5815</v>
      </c>
      <c r="AC592" t="s">
        <v>6389</v>
      </c>
      <c r="AD592" t="s">
        <v>7527</v>
      </c>
      <c r="AF592">
        <v>1</v>
      </c>
      <c r="AG592" t="s">
        <v>9269</v>
      </c>
      <c r="AI592">
        <v>6</v>
      </c>
      <c r="AJ592">
        <v>5</v>
      </c>
      <c r="AK592">
        <v>0</v>
      </c>
      <c r="AL592">
        <v>0</v>
      </c>
      <c r="AM592" t="s">
        <v>9291</v>
      </c>
      <c r="AN592" t="s">
        <v>9295</v>
      </c>
      <c r="AO592" t="s">
        <v>9298</v>
      </c>
      <c r="AP592">
        <v>0</v>
      </c>
      <c r="AV592">
        <v>1</v>
      </c>
      <c r="AW592" t="s">
        <v>65</v>
      </c>
    </row>
    <row r="593" spans="1:49">
      <c r="A593" s="1">
        <f>HYPERLINK("https://cms.ls-nyc.org/matter/dynamic-profile/view/1886620","18-1886620")</f>
        <v>0</v>
      </c>
      <c r="B593" t="s">
        <v>65</v>
      </c>
      <c r="C593" t="s">
        <v>83</v>
      </c>
      <c r="D593" t="s">
        <v>189</v>
      </c>
      <c r="F593" t="s">
        <v>412</v>
      </c>
      <c r="G593" t="s">
        <v>1865</v>
      </c>
      <c r="H593" t="s">
        <v>2995</v>
      </c>
      <c r="I593" t="s">
        <v>4035</v>
      </c>
      <c r="J593" t="s">
        <v>4255</v>
      </c>
      <c r="K593">
        <v>11372</v>
      </c>
      <c r="L593" t="s">
        <v>4275</v>
      </c>
      <c r="M593" t="s">
        <v>4275</v>
      </c>
      <c r="O593" t="s">
        <v>4282</v>
      </c>
      <c r="P593" t="s">
        <v>4851</v>
      </c>
      <c r="Q593" t="s">
        <v>5732</v>
      </c>
      <c r="R593" t="s">
        <v>5751</v>
      </c>
      <c r="T593" t="s">
        <v>4276</v>
      </c>
      <c r="V593" t="s">
        <v>5767</v>
      </c>
      <c r="W593" t="s">
        <v>5772</v>
      </c>
      <c r="X593" t="s">
        <v>189</v>
      </c>
      <c r="Y593">
        <v>1168</v>
      </c>
      <c r="Z593" t="s">
        <v>5803</v>
      </c>
      <c r="AA593" t="s">
        <v>5804</v>
      </c>
      <c r="AC593" t="s">
        <v>6390</v>
      </c>
      <c r="AE593" t="s">
        <v>8391</v>
      </c>
      <c r="AF593">
        <v>20</v>
      </c>
      <c r="AG593" t="s">
        <v>9272</v>
      </c>
      <c r="AH593" t="s">
        <v>4280</v>
      </c>
      <c r="AI593">
        <v>24</v>
      </c>
      <c r="AJ593">
        <v>4</v>
      </c>
      <c r="AK593">
        <v>0</v>
      </c>
      <c r="AL593">
        <v>0</v>
      </c>
      <c r="AO593" t="s">
        <v>1425</v>
      </c>
      <c r="AP593">
        <v>0</v>
      </c>
      <c r="AV593">
        <v>4.25</v>
      </c>
      <c r="AW593" t="s">
        <v>67</v>
      </c>
    </row>
    <row r="594" spans="1:49">
      <c r="A594" s="1">
        <f>HYPERLINK("https://cms.ls-nyc.org/matter/dynamic-profile/view/1897042","19-1897042")</f>
        <v>0</v>
      </c>
      <c r="B594" t="s">
        <v>65</v>
      </c>
      <c r="C594" t="s">
        <v>83</v>
      </c>
      <c r="D594" t="s">
        <v>240</v>
      </c>
      <c r="F594" t="s">
        <v>465</v>
      </c>
      <c r="G594" t="s">
        <v>1866</v>
      </c>
      <c r="H594" t="s">
        <v>3044</v>
      </c>
      <c r="I594">
        <v>50</v>
      </c>
      <c r="J594" t="s">
        <v>4241</v>
      </c>
      <c r="K594">
        <v>11368</v>
      </c>
      <c r="L594" t="s">
        <v>4275</v>
      </c>
      <c r="M594" t="s">
        <v>4275</v>
      </c>
      <c r="O594" t="s">
        <v>4283</v>
      </c>
      <c r="P594" t="s">
        <v>4852</v>
      </c>
      <c r="Q594" t="s">
        <v>5731</v>
      </c>
      <c r="R594" t="s">
        <v>5752</v>
      </c>
      <c r="T594" t="s">
        <v>4276</v>
      </c>
      <c r="V594" t="s">
        <v>5767</v>
      </c>
      <c r="W594" t="s">
        <v>5771</v>
      </c>
      <c r="X594" t="s">
        <v>240</v>
      </c>
      <c r="Y594">
        <v>1715</v>
      </c>
      <c r="Z594" t="s">
        <v>5803</v>
      </c>
      <c r="AA594" t="s">
        <v>5804</v>
      </c>
      <c r="AC594" t="s">
        <v>6391</v>
      </c>
      <c r="AF594">
        <v>0</v>
      </c>
      <c r="AG594" t="s">
        <v>9272</v>
      </c>
      <c r="AI594">
        <v>2</v>
      </c>
      <c r="AJ594">
        <v>2</v>
      </c>
      <c r="AK594">
        <v>4</v>
      </c>
      <c r="AL594">
        <v>0</v>
      </c>
      <c r="AO594" t="s">
        <v>9298</v>
      </c>
      <c r="AP594">
        <v>0</v>
      </c>
      <c r="AV594">
        <v>1.15</v>
      </c>
      <c r="AW594" t="s">
        <v>65</v>
      </c>
    </row>
    <row r="595" spans="1:49">
      <c r="A595" s="1">
        <f>HYPERLINK("https://cms.ls-nyc.org/matter/dynamic-profile/view/1898361","19-1898361")</f>
        <v>0</v>
      </c>
      <c r="B595" t="s">
        <v>65</v>
      </c>
      <c r="C595" t="s">
        <v>83</v>
      </c>
      <c r="D595" t="s">
        <v>129</v>
      </c>
      <c r="F595" t="s">
        <v>794</v>
      </c>
      <c r="G595" t="s">
        <v>1867</v>
      </c>
      <c r="H595" t="s">
        <v>3045</v>
      </c>
      <c r="J595" t="s">
        <v>4227</v>
      </c>
      <c r="K595">
        <v>11366</v>
      </c>
      <c r="L595" t="s">
        <v>4275</v>
      </c>
      <c r="M595" t="s">
        <v>4275</v>
      </c>
      <c r="O595" t="s">
        <v>4284</v>
      </c>
      <c r="P595" t="s">
        <v>4853</v>
      </c>
      <c r="Q595" t="s">
        <v>4698</v>
      </c>
      <c r="R595" t="s">
        <v>5753</v>
      </c>
      <c r="T595" t="s">
        <v>4276</v>
      </c>
      <c r="V595" t="s">
        <v>5767</v>
      </c>
      <c r="X595" t="s">
        <v>205</v>
      </c>
      <c r="Y595">
        <v>0</v>
      </c>
      <c r="Z595" t="s">
        <v>5803</v>
      </c>
      <c r="AA595" t="s">
        <v>5815</v>
      </c>
      <c r="AC595" t="s">
        <v>6342</v>
      </c>
      <c r="AF595">
        <v>0</v>
      </c>
      <c r="AI595">
        <v>0</v>
      </c>
      <c r="AJ595">
        <v>1</v>
      </c>
      <c r="AK595">
        <v>0</v>
      </c>
      <c r="AL595">
        <v>0</v>
      </c>
      <c r="AM595" t="s">
        <v>9291</v>
      </c>
      <c r="AN595" t="s">
        <v>9295</v>
      </c>
      <c r="AP595">
        <v>0</v>
      </c>
      <c r="AV595">
        <v>0</v>
      </c>
      <c r="AW595" t="s">
        <v>65</v>
      </c>
    </row>
    <row r="596" spans="1:49">
      <c r="A596" s="1">
        <f>HYPERLINK("https://cms.ls-nyc.org/matter/dynamic-profile/view/1898356","19-1898356")</f>
        <v>0</v>
      </c>
      <c r="B596" t="s">
        <v>65</v>
      </c>
      <c r="C596" t="s">
        <v>83</v>
      </c>
      <c r="D596" t="s">
        <v>129</v>
      </c>
      <c r="F596" t="s">
        <v>795</v>
      </c>
      <c r="G596" t="s">
        <v>1868</v>
      </c>
      <c r="H596" t="s">
        <v>3046</v>
      </c>
      <c r="I596" t="s">
        <v>4036</v>
      </c>
      <c r="J596" t="s">
        <v>4261</v>
      </c>
      <c r="K596">
        <v>11360</v>
      </c>
      <c r="L596" t="s">
        <v>4275</v>
      </c>
      <c r="M596" t="s">
        <v>4275</v>
      </c>
      <c r="O596" t="s">
        <v>4284</v>
      </c>
      <c r="P596" t="s">
        <v>4853</v>
      </c>
      <c r="Q596" t="s">
        <v>4698</v>
      </c>
      <c r="R596" t="s">
        <v>5753</v>
      </c>
      <c r="T596" t="s">
        <v>4276</v>
      </c>
      <c r="V596" t="s">
        <v>5767</v>
      </c>
      <c r="X596" t="s">
        <v>205</v>
      </c>
      <c r="Y596">
        <v>0</v>
      </c>
      <c r="Z596" t="s">
        <v>5803</v>
      </c>
      <c r="AA596" t="s">
        <v>5815</v>
      </c>
      <c r="AC596" t="s">
        <v>6392</v>
      </c>
      <c r="AF596">
        <v>0</v>
      </c>
      <c r="AG596" t="s">
        <v>9269</v>
      </c>
      <c r="AI596">
        <v>10</v>
      </c>
      <c r="AJ596">
        <v>2</v>
      </c>
      <c r="AK596">
        <v>0</v>
      </c>
      <c r="AL596">
        <v>0</v>
      </c>
      <c r="AM596" t="s">
        <v>9291</v>
      </c>
      <c r="AN596" t="s">
        <v>9295</v>
      </c>
      <c r="AO596" t="s">
        <v>1425</v>
      </c>
      <c r="AP596">
        <v>0</v>
      </c>
      <c r="AV596">
        <v>0</v>
      </c>
      <c r="AW596" t="s">
        <v>65</v>
      </c>
    </row>
    <row r="597" spans="1:49">
      <c r="A597" s="1">
        <f>HYPERLINK("https://cms.ls-nyc.org/matter/dynamic-profile/view/1877165","18-1877165")</f>
        <v>0</v>
      </c>
      <c r="B597" t="s">
        <v>65</v>
      </c>
      <c r="C597" t="s">
        <v>83</v>
      </c>
      <c r="D597" t="s">
        <v>199</v>
      </c>
      <c r="F597" t="s">
        <v>796</v>
      </c>
      <c r="G597" t="s">
        <v>1869</v>
      </c>
      <c r="H597" t="s">
        <v>3047</v>
      </c>
      <c r="I597" t="s">
        <v>3861</v>
      </c>
      <c r="J597" t="s">
        <v>4229</v>
      </c>
      <c r="K597">
        <v>11354</v>
      </c>
      <c r="L597" t="s">
        <v>4275</v>
      </c>
      <c r="M597" t="s">
        <v>4275</v>
      </c>
      <c r="O597" t="s">
        <v>4283</v>
      </c>
      <c r="P597" t="s">
        <v>4854</v>
      </c>
      <c r="Q597" t="s">
        <v>5732</v>
      </c>
      <c r="R597" t="s">
        <v>5751</v>
      </c>
      <c r="T597" t="s">
        <v>4275</v>
      </c>
      <c r="V597" t="s">
        <v>5767</v>
      </c>
      <c r="W597" t="s">
        <v>5772</v>
      </c>
      <c r="X597" t="s">
        <v>228</v>
      </c>
      <c r="Y597">
        <v>1100</v>
      </c>
      <c r="Z597" t="s">
        <v>5803</v>
      </c>
      <c r="AA597" t="s">
        <v>5813</v>
      </c>
      <c r="AC597" t="s">
        <v>6393</v>
      </c>
      <c r="AE597" t="s">
        <v>8392</v>
      </c>
      <c r="AF597">
        <v>15</v>
      </c>
      <c r="AG597" t="s">
        <v>9269</v>
      </c>
      <c r="AH597" t="s">
        <v>4280</v>
      </c>
      <c r="AI597">
        <v>4</v>
      </c>
      <c r="AJ597">
        <v>1</v>
      </c>
      <c r="AK597">
        <v>0</v>
      </c>
      <c r="AL597">
        <v>0</v>
      </c>
      <c r="AO597" t="s">
        <v>1425</v>
      </c>
      <c r="AP597">
        <v>0</v>
      </c>
      <c r="AR597" t="s">
        <v>9333</v>
      </c>
      <c r="AS597" t="s">
        <v>5806</v>
      </c>
      <c r="AT597" t="s">
        <v>9370</v>
      </c>
      <c r="AU597" t="s">
        <v>9425</v>
      </c>
      <c r="AV597">
        <v>22.5</v>
      </c>
      <c r="AW597" t="s">
        <v>9553</v>
      </c>
    </row>
    <row r="598" spans="1:49">
      <c r="A598" s="1">
        <f>HYPERLINK("https://cms.ls-nyc.org/matter/dynamic-profile/view/1892386","19-1892386")</f>
        <v>0</v>
      </c>
      <c r="B598" t="s">
        <v>65</v>
      </c>
      <c r="C598" t="s">
        <v>82</v>
      </c>
      <c r="D598" t="s">
        <v>241</v>
      </c>
      <c r="E598" t="s">
        <v>163</v>
      </c>
      <c r="F598" t="s">
        <v>587</v>
      </c>
      <c r="G598" t="s">
        <v>1870</v>
      </c>
      <c r="H598" t="s">
        <v>3048</v>
      </c>
      <c r="I598" t="s">
        <v>4037</v>
      </c>
      <c r="J598" t="s">
        <v>4234</v>
      </c>
      <c r="K598">
        <v>11103</v>
      </c>
      <c r="L598" t="s">
        <v>4275</v>
      </c>
      <c r="M598" t="s">
        <v>4275</v>
      </c>
      <c r="O598" t="s">
        <v>4283</v>
      </c>
      <c r="Q598" t="s">
        <v>4698</v>
      </c>
      <c r="R598" t="s">
        <v>5753</v>
      </c>
      <c r="S598" t="s">
        <v>5759</v>
      </c>
      <c r="T598" t="s">
        <v>4276</v>
      </c>
      <c r="V598" t="s">
        <v>5767</v>
      </c>
      <c r="X598" t="s">
        <v>160</v>
      </c>
      <c r="Y598">
        <v>0</v>
      </c>
      <c r="Z598" t="s">
        <v>5803</v>
      </c>
      <c r="AA598" t="s">
        <v>5810</v>
      </c>
      <c r="AB598" t="s">
        <v>5821</v>
      </c>
      <c r="AC598" t="s">
        <v>6394</v>
      </c>
      <c r="AD598" t="s">
        <v>7289</v>
      </c>
      <c r="AE598" t="s">
        <v>7289</v>
      </c>
      <c r="AF598">
        <v>0</v>
      </c>
      <c r="AG598" t="s">
        <v>9270</v>
      </c>
      <c r="AH598" t="s">
        <v>4280</v>
      </c>
      <c r="AI598">
        <v>0</v>
      </c>
      <c r="AJ598">
        <v>1</v>
      </c>
      <c r="AK598">
        <v>0</v>
      </c>
      <c r="AL598">
        <v>0</v>
      </c>
      <c r="AO598" t="s">
        <v>1425</v>
      </c>
      <c r="AP598">
        <v>0</v>
      </c>
      <c r="AV598">
        <v>0.05</v>
      </c>
      <c r="AW598" t="s">
        <v>65</v>
      </c>
    </row>
    <row r="599" spans="1:49">
      <c r="A599" s="1">
        <f>HYPERLINK("https://cms.ls-nyc.org/matter/dynamic-profile/view/1888545","19-1888545")</f>
        <v>0</v>
      </c>
      <c r="B599" t="s">
        <v>65</v>
      </c>
      <c r="C599" t="s">
        <v>82</v>
      </c>
      <c r="D599" t="s">
        <v>125</v>
      </c>
      <c r="E599" t="s">
        <v>100</v>
      </c>
      <c r="F599" t="s">
        <v>797</v>
      </c>
      <c r="G599" t="s">
        <v>1871</v>
      </c>
      <c r="H599" t="s">
        <v>3049</v>
      </c>
      <c r="I599" t="s">
        <v>3927</v>
      </c>
      <c r="J599" t="s">
        <v>4230</v>
      </c>
      <c r="K599">
        <v>11101</v>
      </c>
      <c r="L599" t="s">
        <v>4275</v>
      </c>
      <c r="M599" t="s">
        <v>4275</v>
      </c>
      <c r="O599" t="s">
        <v>4283</v>
      </c>
      <c r="P599" t="s">
        <v>4855</v>
      </c>
      <c r="Q599" t="s">
        <v>5732</v>
      </c>
      <c r="R599" t="s">
        <v>5754</v>
      </c>
      <c r="S599" t="s">
        <v>5759</v>
      </c>
      <c r="T599" t="s">
        <v>4276</v>
      </c>
      <c r="V599" t="s">
        <v>5767</v>
      </c>
      <c r="W599" t="s">
        <v>5772</v>
      </c>
      <c r="X599" t="s">
        <v>125</v>
      </c>
      <c r="Y599">
        <v>500</v>
      </c>
      <c r="Z599" t="s">
        <v>5803</v>
      </c>
      <c r="AA599" t="s">
        <v>5804</v>
      </c>
      <c r="AB599" t="s">
        <v>5821</v>
      </c>
      <c r="AC599" t="s">
        <v>6395</v>
      </c>
      <c r="AE599" t="s">
        <v>8393</v>
      </c>
      <c r="AF599">
        <v>2</v>
      </c>
      <c r="AG599" t="s">
        <v>9269</v>
      </c>
      <c r="AH599" t="s">
        <v>4280</v>
      </c>
      <c r="AI599">
        <v>13</v>
      </c>
      <c r="AJ599">
        <v>1</v>
      </c>
      <c r="AK599">
        <v>0</v>
      </c>
      <c r="AL599">
        <v>0</v>
      </c>
      <c r="AO599" t="s">
        <v>1425</v>
      </c>
      <c r="AP599">
        <v>0</v>
      </c>
      <c r="AV599">
        <v>0.75</v>
      </c>
      <c r="AW599" t="s">
        <v>54</v>
      </c>
    </row>
    <row r="600" spans="1:49">
      <c r="A600" s="1">
        <f>HYPERLINK("https://cms.ls-nyc.org/matter/dynamic-profile/view/1895282","19-1895282")</f>
        <v>0</v>
      </c>
      <c r="B600" t="s">
        <v>65</v>
      </c>
      <c r="C600" t="s">
        <v>83</v>
      </c>
      <c r="D600" t="s">
        <v>238</v>
      </c>
      <c r="F600" t="s">
        <v>798</v>
      </c>
      <c r="G600" t="s">
        <v>1761</v>
      </c>
      <c r="H600" t="s">
        <v>3035</v>
      </c>
      <c r="I600" t="s">
        <v>4038</v>
      </c>
      <c r="J600" t="s">
        <v>4243</v>
      </c>
      <c r="K600">
        <v>11691</v>
      </c>
      <c r="L600" t="s">
        <v>4275</v>
      </c>
      <c r="M600" t="s">
        <v>4275</v>
      </c>
      <c r="O600" t="s">
        <v>4283</v>
      </c>
      <c r="Q600" t="s">
        <v>4698</v>
      </c>
      <c r="R600" t="s">
        <v>5754</v>
      </c>
      <c r="V600" t="s">
        <v>5767</v>
      </c>
      <c r="X600" t="s">
        <v>218</v>
      </c>
      <c r="Y600">
        <v>1500</v>
      </c>
      <c r="Z600" t="s">
        <v>5803</v>
      </c>
      <c r="AC600" t="s">
        <v>6396</v>
      </c>
      <c r="AF600">
        <v>917</v>
      </c>
      <c r="AG600" t="s">
        <v>9272</v>
      </c>
      <c r="AH600" t="s">
        <v>9282</v>
      </c>
      <c r="AI600">
        <v>5</v>
      </c>
      <c r="AJ600">
        <v>1</v>
      </c>
      <c r="AK600">
        <v>0</v>
      </c>
      <c r="AL600">
        <v>6.1</v>
      </c>
      <c r="AO600" t="s">
        <v>1425</v>
      </c>
      <c r="AP600">
        <v>762</v>
      </c>
      <c r="AV600">
        <v>0.5</v>
      </c>
      <c r="AW600" t="s">
        <v>65</v>
      </c>
    </row>
    <row r="601" spans="1:49">
      <c r="A601" s="1">
        <f>HYPERLINK("https://cms.ls-nyc.org/matter/dynamic-profile/view/1895751","19-1895751")</f>
        <v>0</v>
      </c>
      <c r="B601" t="s">
        <v>65</v>
      </c>
      <c r="C601" t="s">
        <v>83</v>
      </c>
      <c r="D601" t="s">
        <v>94</v>
      </c>
      <c r="F601" t="s">
        <v>799</v>
      </c>
      <c r="G601" t="s">
        <v>1462</v>
      </c>
      <c r="H601" t="s">
        <v>3050</v>
      </c>
      <c r="I601">
        <v>28</v>
      </c>
      <c r="J601" t="s">
        <v>4243</v>
      </c>
      <c r="K601">
        <v>11691</v>
      </c>
      <c r="L601" t="s">
        <v>4275</v>
      </c>
      <c r="M601" t="s">
        <v>4275</v>
      </c>
      <c r="O601" t="s">
        <v>4283</v>
      </c>
      <c r="Q601" t="s">
        <v>5738</v>
      </c>
      <c r="R601" t="s">
        <v>5755</v>
      </c>
      <c r="T601" t="s">
        <v>4275</v>
      </c>
      <c r="V601" t="s">
        <v>5767</v>
      </c>
      <c r="X601" t="s">
        <v>94</v>
      </c>
      <c r="Y601">
        <v>540</v>
      </c>
      <c r="Z601" t="s">
        <v>5803</v>
      </c>
      <c r="AA601" t="s">
        <v>5816</v>
      </c>
      <c r="AC601" t="s">
        <v>6397</v>
      </c>
      <c r="AE601" t="s">
        <v>8394</v>
      </c>
      <c r="AF601">
        <v>43</v>
      </c>
      <c r="AG601" t="s">
        <v>9272</v>
      </c>
      <c r="AI601">
        <v>28</v>
      </c>
      <c r="AJ601">
        <v>2</v>
      </c>
      <c r="AK601">
        <v>0</v>
      </c>
      <c r="AL601">
        <v>14.19</v>
      </c>
      <c r="AO601" t="s">
        <v>1425</v>
      </c>
      <c r="AP601">
        <v>2400</v>
      </c>
      <c r="AV601">
        <v>0</v>
      </c>
      <c r="AW601" t="s">
        <v>9547</v>
      </c>
    </row>
    <row r="602" spans="1:49">
      <c r="A602" s="1">
        <f>HYPERLINK("https://cms.ls-nyc.org/matter/dynamic-profile/view/1895768","19-1895768")</f>
        <v>0</v>
      </c>
      <c r="B602" t="s">
        <v>65</v>
      </c>
      <c r="C602" t="s">
        <v>83</v>
      </c>
      <c r="D602" t="s">
        <v>94</v>
      </c>
      <c r="F602" t="s">
        <v>799</v>
      </c>
      <c r="G602" t="s">
        <v>1462</v>
      </c>
      <c r="H602" t="s">
        <v>3050</v>
      </c>
      <c r="I602">
        <v>4</v>
      </c>
      <c r="J602" t="s">
        <v>4243</v>
      </c>
      <c r="K602">
        <v>11691</v>
      </c>
      <c r="L602" t="s">
        <v>4275</v>
      </c>
      <c r="M602" t="s">
        <v>4275</v>
      </c>
      <c r="O602" t="s">
        <v>4283</v>
      </c>
      <c r="Q602" t="s">
        <v>5737</v>
      </c>
      <c r="R602" t="s">
        <v>5754</v>
      </c>
      <c r="T602" t="s">
        <v>4275</v>
      </c>
      <c r="V602" t="s">
        <v>5767</v>
      </c>
      <c r="X602" t="s">
        <v>94</v>
      </c>
      <c r="Y602">
        <v>540</v>
      </c>
      <c r="Z602" t="s">
        <v>5803</v>
      </c>
      <c r="AA602" t="s">
        <v>5816</v>
      </c>
      <c r="AC602" t="s">
        <v>6397</v>
      </c>
      <c r="AE602" t="s">
        <v>8394</v>
      </c>
      <c r="AF602">
        <v>43</v>
      </c>
      <c r="AI602">
        <v>28</v>
      </c>
      <c r="AJ602">
        <v>2</v>
      </c>
      <c r="AK602">
        <v>0</v>
      </c>
      <c r="AL602">
        <v>14.19</v>
      </c>
      <c r="AO602" t="s">
        <v>1425</v>
      </c>
      <c r="AP602">
        <v>2400</v>
      </c>
      <c r="AV602">
        <v>0</v>
      </c>
      <c r="AW602" t="s">
        <v>9547</v>
      </c>
    </row>
    <row r="603" spans="1:49">
      <c r="A603" s="1">
        <f>HYPERLINK("https://cms.ls-nyc.org/matter/dynamic-profile/view/1893492","19-1893492")</f>
        <v>0</v>
      </c>
      <c r="B603" t="s">
        <v>65</v>
      </c>
      <c r="C603" t="s">
        <v>83</v>
      </c>
      <c r="D603" t="s">
        <v>209</v>
      </c>
      <c r="F603" t="s">
        <v>757</v>
      </c>
      <c r="G603" t="s">
        <v>1872</v>
      </c>
      <c r="H603" t="s">
        <v>3051</v>
      </c>
      <c r="I603" t="s">
        <v>4039</v>
      </c>
      <c r="J603" t="s">
        <v>4243</v>
      </c>
      <c r="K603">
        <v>11691</v>
      </c>
      <c r="L603" t="s">
        <v>4277</v>
      </c>
      <c r="M603" t="s">
        <v>4277</v>
      </c>
      <c r="O603" t="s">
        <v>4283</v>
      </c>
      <c r="Q603" t="s">
        <v>5732</v>
      </c>
      <c r="R603" t="s">
        <v>5751</v>
      </c>
      <c r="T603" t="s">
        <v>4276</v>
      </c>
      <c r="V603" t="s">
        <v>5767</v>
      </c>
      <c r="Y603">
        <v>1200</v>
      </c>
      <c r="Z603" t="s">
        <v>5803</v>
      </c>
      <c r="AC603" t="s">
        <v>6398</v>
      </c>
      <c r="AE603" t="s">
        <v>8395</v>
      </c>
      <c r="AF603">
        <v>56</v>
      </c>
      <c r="AG603" t="s">
        <v>9278</v>
      </c>
      <c r="AI603">
        <v>1</v>
      </c>
      <c r="AJ603">
        <v>1</v>
      </c>
      <c r="AK603">
        <v>2</v>
      </c>
      <c r="AL603">
        <v>16.88</v>
      </c>
      <c r="AO603" t="s">
        <v>1425</v>
      </c>
      <c r="AP603">
        <v>3600</v>
      </c>
      <c r="AV603">
        <v>5.9</v>
      </c>
      <c r="AW603" t="s">
        <v>9554</v>
      </c>
    </row>
    <row r="604" spans="1:49">
      <c r="A604" s="1">
        <f>HYPERLINK("https://cms.ls-nyc.org/matter/dynamic-profile/view/1898658","19-1898658")</f>
        <v>0</v>
      </c>
      <c r="B604" t="s">
        <v>65</v>
      </c>
      <c r="C604" t="s">
        <v>83</v>
      </c>
      <c r="D604" t="s">
        <v>93</v>
      </c>
      <c r="F604" t="s">
        <v>800</v>
      </c>
      <c r="G604" t="s">
        <v>1873</v>
      </c>
      <c r="H604" t="s">
        <v>3052</v>
      </c>
      <c r="J604" t="s">
        <v>4229</v>
      </c>
      <c r="K604">
        <v>11355</v>
      </c>
      <c r="L604" t="s">
        <v>4275</v>
      </c>
      <c r="M604" t="s">
        <v>4275</v>
      </c>
      <c r="O604" t="s">
        <v>4283</v>
      </c>
      <c r="P604" t="s">
        <v>4856</v>
      </c>
      <c r="Q604" t="s">
        <v>5732</v>
      </c>
      <c r="R604" t="s">
        <v>5751</v>
      </c>
      <c r="T604" t="s">
        <v>4276</v>
      </c>
      <c r="V604" t="s">
        <v>5767</v>
      </c>
      <c r="X604" t="s">
        <v>93</v>
      </c>
      <c r="Y604">
        <v>0</v>
      </c>
      <c r="Z604" t="s">
        <v>5803</v>
      </c>
      <c r="AA604" t="s">
        <v>5804</v>
      </c>
      <c r="AC604" t="s">
        <v>6399</v>
      </c>
      <c r="AD604" t="s">
        <v>7528</v>
      </c>
      <c r="AE604" t="s">
        <v>8396</v>
      </c>
      <c r="AF604">
        <v>0</v>
      </c>
      <c r="AG604" t="s">
        <v>9280</v>
      </c>
      <c r="AH604" t="s">
        <v>4280</v>
      </c>
      <c r="AI604">
        <v>1</v>
      </c>
      <c r="AJ604">
        <v>1</v>
      </c>
      <c r="AK604">
        <v>0</v>
      </c>
      <c r="AL604">
        <v>19.05</v>
      </c>
      <c r="AO604" t="s">
        <v>1425</v>
      </c>
      <c r="AP604">
        <v>2379</v>
      </c>
      <c r="AV604">
        <v>2.3</v>
      </c>
      <c r="AW604" t="s">
        <v>54</v>
      </c>
    </row>
    <row r="605" spans="1:49">
      <c r="A605" s="1">
        <f>HYPERLINK("https://cms.ls-nyc.org/matter/dynamic-profile/view/1888149","19-1888149")</f>
        <v>0</v>
      </c>
      <c r="B605" t="s">
        <v>65</v>
      </c>
      <c r="C605" t="s">
        <v>83</v>
      </c>
      <c r="D605" t="s">
        <v>144</v>
      </c>
      <c r="F605" t="s">
        <v>801</v>
      </c>
      <c r="G605" t="s">
        <v>1874</v>
      </c>
      <c r="H605" t="s">
        <v>3053</v>
      </c>
      <c r="I605" t="s">
        <v>4040</v>
      </c>
      <c r="J605" t="s">
        <v>4222</v>
      </c>
      <c r="K605">
        <v>11434</v>
      </c>
      <c r="L605" t="s">
        <v>4275</v>
      </c>
      <c r="M605" t="s">
        <v>4275</v>
      </c>
      <c r="O605" t="s">
        <v>4281</v>
      </c>
      <c r="P605" t="s">
        <v>4857</v>
      </c>
      <c r="Q605" t="s">
        <v>5732</v>
      </c>
      <c r="R605" t="s">
        <v>5751</v>
      </c>
      <c r="T605" t="s">
        <v>4276</v>
      </c>
      <c r="V605" t="s">
        <v>5767</v>
      </c>
      <c r="W605" t="s">
        <v>5772</v>
      </c>
      <c r="X605" t="s">
        <v>144</v>
      </c>
      <c r="Y605">
        <v>1669</v>
      </c>
      <c r="Z605" t="s">
        <v>5803</v>
      </c>
      <c r="AA605" t="s">
        <v>5805</v>
      </c>
      <c r="AC605" t="s">
        <v>6400</v>
      </c>
      <c r="AD605" t="s">
        <v>7529</v>
      </c>
      <c r="AE605" t="s">
        <v>8397</v>
      </c>
      <c r="AF605">
        <v>2</v>
      </c>
      <c r="AH605" t="s">
        <v>9282</v>
      </c>
      <c r="AI605">
        <v>10</v>
      </c>
      <c r="AJ605">
        <v>2</v>
      </c>
      <c r="AK605">
        <v>3</v>
      </c>
      <c r="AL605">
        <v>21.21</v>
      </c>
      <c r="AO605" t="s">
        <v>1425</v>
      </c>
      <c r="AP605">
        <v>6240</v>
      </c>
      <c r="AR605" t="s">
        <v>9329</v>
      </c>
      <c r="AS605" t="s">
        <v>9336</v>
      </c>
      <c r="AT605" t="s">
        <v>9369</v>
      </c>
      <c r="AU605" t="s">
        <v>9424</v>
      </c>
      <c r="AV605">
        <v>4.85</v>
      </c>
      <c r="AW605" t="s">
        <v>60</v>
      </c>
    </row>
    <row r="606" spans="1:49">
      <c r="A606" s="1">
        <f>HYPERLINK("https://cms.ls-nyc.org/matter/dynamic-profile/view/1881373","18-1881373")</f>
        <v>0</v>
      </c>
      <c r="B606" t="s">
        <v>65</v>
      </c>
      <c r="C606" t="s">
        <v>83</v>
      </c>
      <c r="D606" t="s">
        <v>150</v>
      </c>
      <c r="F606" t="s">
        <v>802</v>
      </c>
      <c r="G606" t="s">
        <v>1875</v>
      </c>
      <c r="H606" t="s">
        <v>3054</v>
      </c>
      <c r="I606" t="s">
        <v>3906</v>
      </c>
      <c r="J606" t="s">
        <v>4243</v>
      </c>
      <c r="K606">
        <v>11691</v>
      </c>
      <c r="L606" t="s">
        <v>4275</v>
      </c>
      <c r="M606" t="s">
        <v>4275</v>
      </c>
      <c r="O606" t="s">
        <v>4283</v>
      </c>
      <c r="P606" t="s">
        <v>4858</v>
      </c>
      <c r="Q606" t="s">
        <v>5731</v>
      </c>
      <c r="R606" t="s">
        <v>5751</v>
      </c>
      <c r="T606" t="s">
        <v>4276</v>
      </c>
      <c r="V606" t="s">
        <v>5767</v>
      </c>
      <c r="W606" t="s">
        <v>5772</v>
      </c>
      <c r="X606" t="s">
        <v>150</v>
      </c>
      <c r="Y606">
        <v>1956</v>
      </c>
      <c r="Z606" t="s">
        <v>5803</v>
      </c>
      <c r="AA606" t="s">
        <v>5804</v>
      </c>
      <c r="AC606" t="s">
        <v>6401</v>
      </c>
      <c r="AD606" t="s">
        <v>7530</v>
      </c>
      <c r="AE606" t="s">
        <v>8398</v>
      </c>
      <c r="AF606">
        <v>108</v>
      </c>
      <c r="AG606" t="s">
        <v>9272</v>
      </c>
      <c r="AH606" t="s">
        <v>9283</v>
      </c>
      <c r="AI606">
        <v>1</v>
      </c>
      <c r="AJ606">
        <v>1</v>
      </c>
      <c r="AK606">
        <v>4</v>
      </c>
      <c r="AL606">
        <v>27.31</v>
      </c>
      <c r="AO606" t="s">
        <v>1425</v>
      </c>
      <c r="AP606">
        <v>8034</v>
      </c>
      <c r="AR606" t="s">
        <v>9333</v>
      </c>
      <c r="AS606" t="s">
        <v>5806</v>
      </c>
      <c r="AT606" t="s">
        <v>9369</v>
      </c>
      <c r="AU606" t="s">
        <v>9409</v>
      </c>
      <c r="AV606">
        <v>3.8</v>
      </c>
      <c r="AW606" t="s">
        <v>74</v>
      </c>
    </row>
    <row r="607" spans="1:49">
      <c r="A607" s="1">
        <f>HYPERLINK("https://cms.ls-nyc.org/matter/dynamic-profile/view/1880036","18-1880036")</f>
        <v>0</v>
      </c>
      <c r="B607" t="s">
        <v>65</v>
      </c>
      <c r="C607" t="s">
        <v>82</v>
      </c>
      <c r="D607" t="s">
        <v>184</v>
      </c>
      <c r="E607" t="s">
        <v>225</v>
      </c>
      <c r="F607" t="s">
        <v>803</v>
      </c>
      <c r="G607" t="s">
        <v>1876</v>
      </c>
      <c r="H607" t="s">
        <v>3055</v>
      </c>
      <c r="I607" t="s">
        <v>3856</v>
      </c>
      <c r="J607" t="s">
        <v>4250</v>
      </c>
      <c r="K607">
        <v>11412</v>
      </c>
      <c r="L607" t="s">
        <v>4275</v>
      </c>
      <c r="M607" t="s">
        <v>4275</v>
      </c>
      <c r="O607" t="s">
        <v>4283</v>
      </c>
      <c r="P607" t="s">
        <v>4859</v>
      </c>
      <c r="Q607" t="s">
        <v>5732</v>
      </c>
      <c r="R607" t="s">
        <v>5753</v>
      </c>
      <c r="S607" t="s">
        <v>5759</v>
      </c>
      <c r="T607" t="s">
        <v>4276</v>
      </c>
      <c r="V607" t="s">
        <v>5767</v>
      </c>
      <c r="W607" t="s">
        <v>5772</v>
      </c>
      <c r="X607" t="s">
        <v>184</v>
      </c>
      <c r="Y607">
        <v>1515</v>
      </c>
      <c r="Z607" t="s">
        <v>5803</v>
      </c>
      <c r="AA607" t="s">
        <v>5804</v>
      </c>
      <c r="AB607" t="s">
        <v>5821</v>
      </c>
      <c r="AC607" t="s">
        <v>6402</v>
      </c>
      <c r="AD607" t="s">
        <v>7531</v>
      </c>
      <c r="AE607" t="s">
        <v>8399</v>
      </c>
      <c r="AF607">
        <v>2</v>
      </c>
      <c r="AG607" t="s">
        <v>9269</v>
      </c>
      <c r="AH607" t="s">
        <v>9286</v>
      </c>
      <c r="AI607">
        <v>3</v>
      </c>
      <c r="AJ607">
        <v>1</v>
      </c>
      <c r="AK607">
        <v>2</v>
      </c>
      <c r="AL607">
        <v>35.51</v>
      </c>
      <c r="AO607" t="s">
        <v>1425</v>
      </c>
      <c r="AP607">
        <v>7380</v>
      </c>
      <c r="AV607">
        <v>0.9</v>
      </c>
      <c r="AW607" t="s">
        <v>73</v>
      </c>
    </row>
    <row r="608" spans="1:49">
      <c r="A608" s="1">
        <f>HYPERLINK("https://cms.ls-nyc.org/matter/dynamic-profile/view/1874480","18-1874480")</f>
        <v>0</v>
      </c>
      <c r="B608" t="s">
        <v>65</v>
      </c>
      <c r="C608" t="s">
        <v>83</v>
      </c>
      <c r="D608" t="s">
        <v>212</v>
      </c>
      <c r="F608" t="s">
        <v>804</v>
      </c>
      <c r="G608" t="s">
        <v>1877</v>
      </c>
      <c r="H608" t="s">
        <v>2950</v>
      </c>
      <c r="I608">
        <v>1110</v>
      </c>
      <c r="J608" t="s">
        <v>4254</v>
      </c>
      <c r="K608">
        <v>11692</v>
      </c>
      <c r="L608" t="s">
        <v>4275</v>
      </c>
      <c r="M608" t="s">
        <v>4275</v>
      </c>
      <c r="O608" t="s">
        <v>4283</v>
      </c>
      <c r="P608" t="s">
        <v>4860</v>
      </c>
      <c r="Q608" t="s">
        <v>5731</v>
      </c>
      <c r="R608" t="s">
        <v>5751</v>
      </c>
      <c r="T608" t="s">
        <v>4276</v>
      </c>
      <c r="V608" t="s">
        <v>5767</v>
      </c>
      <c r="W608" t="s">
        <v>5772</v>
      </c>
      <c r="X608" t="s">
        <v>212</v>
      </c>
      <c r="Y608">
        <v>1500</v>
      </c>
      <c r="Z608" t="s">
        <v>5803</v>
      </c>
      <c r="AA608" t="s">
        <v>5804</v>
      </c>
      <c r="AC608" t="s">
        <v>6403</v>
      </c>
      <c r="AD608" t="s">
        <v>7532</v>
      </c>
      <c r="AE608" t="s">
        <v>8400</v>
      </c>
      <c r="AF608">
        <v>217</v>
      </c>
      <c r="AG608" t="s">
        <v>9270</v>
      </c>
      <c r="AH608" t="s">
        <v>9284</v>
      </c>
      <c r="AI608">
        <v>3</v>
      </c>
      <c r="AJ608">
        <v>2</v>
      </c>
      <c r="AK608">
        <v>2</v>
      </c>
      <c r="AL608">
        <v>35.86</v>
      </c>
      <c r="AO608" t="s">
        <v>1425</v>
      </c>
      <c r="AP608">
        <v>9000</v>
      </c>
      <c r="AR608" t="s">
        <v>9333</v>
      </c>
      <c r="AS608" t="s">
        <v>9341</v>
      </c>
      <c r="AT608" t="s">
        <v>9369</v>
      </c>
      <c r="AU608" t="s">
        <v>9402</v>
      </c>
      <c r="AV608">
        <v>12.75</v>
      </c>
      <c r="AW608" t="s">
        <v>73</v>
      </c>
    </row>
    <row r="609" spans="1:49">
      <c r="A609" s="1">
        <f>HYPERLINK("https://cms.ls-nyc.org/matter/dynamic-profile/view/1878640","18-1878640")</f>
        <v>0</v>
      </c>
      <c r="B609" t="s">
        <v>65</v>
      </c>
      <c r="C609" t="s">
        <v>82</v>
      </c>
      <c r="D609" t="s">
        <v>147</v>
      </c>
      <c r="E609" t="s">
        <v>215</v>
      </c>
      <c r="F609" t="s">
        <v>363</v>
      </c>
      <c r="G609" t="s">
        <v>1878</v>
      </c>
      <c r="H609" t="s">
        <v>3056</v>
      </c>
      <c r="I609" t="s">
        <v>3912</v>
      </c>
      <c r="J609" t="s">
        <v>4222</v>
      </c>
      <c r="K609">
        <v>11435</v>
      </c>
      <c r="L609" t="s">
        <v>4275</v>
      </c>
      <c r="M609" t="s">
        <v>4275</v>
      </c>
      <c r="O609" t="s">
        <v>4283</v>
      </c>
      <c r="P609" t="s">
        <v>4861</v>
      </c>
      <c r="Q609" t="s">
        <v>5732</v>
      </c>
      <c r="R609" t="s">
        <v>5753</v>
      </c>
      <c r="S609" t="s">
        <v>5759</v>
      </c>
      <c r="T609" t="s">
        <v>4276</v>
      </c>
      <c r="V609" t="s">
        <v>5767</v>
      </c>
      <c r="W609" t="s">
        <v>5774</v>
      </c>
      <c r="X609" t="s">
        <v>147</v>
      </c>
      <c r="Y609">
        <v>1888</v>
      </c>
      <c r="Z609" t="s">
        <v>5803</v>
      </c>
      <c r="AA609" t="s">
        <v>5804</v>
      </c>
      <c r="AB609" t="s">
        <v>5821</v>
      </c>
      <c r="AC609" t="s">
        <v>6404</v>
      </c>
      <c r="AD609" t="s">
        <v>7533</v>
      </c>
      <c r="AE609" t="s">
        <v>8401</v>
      </c>
      <c r="AF609">
        <v>40</v>
      </c>
      <c r="AG609" t="s">
        <v>9275</v>
      </c>
      <c r="AH609" t="s">
        <v>4280</v>
      </c>
      <c r="AI609">
        <v>3</v>
      </c>
      <c r="AJ609">
        <v>1</v>
      </c>
      <c r="AK609">
        <v>3</v>
      </c>
      <c r="AL609">
        <v>39.35</v>
      </c>
      <c r="AO609" t="s">
        <v>1425</v>
      </c>
      <c r="AP609">
        <v>9876</v>
      </c>
      <c r="AV609">
        <v>1.05</v>
      </c>
      <c r="AW609" t="s">
        <v>74</v>
      </c>
    </row>
    <row r="610" spans="1:49">
      <c r="A610" s="1">
        <f>HYPERLINK("https://cms.ls-nyc.org/matter/dynamic-profile/view/1895955","19-1895955")</f>
        <v>0</v>
      </c>
      <c r="B610" t="s">
        <v>65</v>
      </c>
      <c r="C610" t="s">
        <v>83</v>
      </c>
      <c r="D610" t="s">
        <v>105</v>
      </c>
      <c r="F610" t="s">
        <v>805</v>
      </c>
      <c r="G610" t="s">
        <v>916</v>
      </c>
      <c r="H610" t="s">
        <v>3057</v>
      </c>
      <c r="J610" t="s">
        <v>4229</v>
      </c>
      <c r="K610">
        <v>11358</v>
      </c>
      <c r="L610" t="s">
        <v>4275</v>
      </c>
      <c r="M610" t="s">
        <v>4275</v>
      </c>
      <c r="O610" t="s">
        <v>4283</v>
      </c>
      <c r="P610" t="s">
        <v>4862</v>
      </c>
      <c r="Q610" t="s">
        <v>5732</v>
      </c>
      <c r="R610" t="s">
        <v>5751</v>
      </c>
      <c r="V610" t="s">
        <v>5767</v>
      </c>
      <c r="X610" t="s">
        <v>105</v>
      </c>
      <c r="Y610">
        <v>430</v>
      </c>
      <c r="Z610" t="s">
        <v>5803</v>
      </c>
      <c r="AC610" t="s">
        <v>6405</v>
      </c>
      <c r="AE610" t="s">
        <v>8402</v>
      </c>
      <c r="AF610">
        <v>0</v>
      </c>
      <c r="AI610">
        <v>0</v>
      </c>
      <c r="AJ610">
        <v>1</v>
      </c>
      <c r="AK610">
        <v>0</v>
      </c>
      <c r="AL610">
        <v>40.03</v>
      </c>
      <c r="AO610" t="s">
        <v>1425</v>
      </c>
      <c r="AP610">
        <v>5000</v>
      </c>
      <c r="AV610">
        <v>26.8</v>
      </c>
      <c r="AW610" t="s">
        <v>9547</v>
      </c>
    </row>
    <row r="611" spans="1:49">
      <c r="A611" s="1">
        <f>HYPERLINK("https://cms.ls-nyc.org/matter/dynamic-profile/view/1877613","18-1877613")</f>
        <v>0</v>
      </c>
      <c r="B611" t="s">
        <v>65</v>
      </c>
      <c r="C611" t="s">
        <v>83</v>
      </c>
      <c r="D611" t="s">
        <v>242</v>
      </c>
      <c r="F611" t="s">
        <v>806</v>
      </c>
      <c r="G611" t="s">
        <v>1480</v>
      </c>
      <c r="H611" t="s">
        <v>3058</v>
      </c>
      <c r="I611" t="s">
        <v>3842</v>
      </c>
      <c r="J611" t="s">
        <v>4235</v>
      </c>
      <c r="K611">
        <v>11421</v>
      </c>
      <c r="L611" t="s">
        <v>4275</v>
      </c>
      <c r="M611" t="s">
        <v>4275</v>
      </c>
      <c r="O611" t="s">
        <v>4282</v>
      </c>
      <c r="P611" t="s">
        <v>4863</v>
      </c>
      <c r="Q611" t="s">
        <v>5732</v>
      </c>
      <c r="R611" t="s">
        <v>5751</v>
      </c>
      <c r="T611" t="s">
        <v>4276</v>
      </c>
      <c r="V611" t="s">
        <v>5767</v>
      </c>
      <c r="W611" t="s">
        <v>5772</v>
      </c>
      <c r="X611" t="s">
        <v>180</v>
      </c>
      <c r="Y611">
        <v>2250</v>
      </c>
      <c r="Z611" t="s">
        <v>5803</v>
      </c>
      <c r="AA611" t="s">
        <v>5804</v>
      </c>
      <c r="AC611" t="s">
        <v>6406</v>
      </c>
      <c r="AD611" t="s">
        <v>7534</v>
      </c>
      <c r="AE611" t="s">
        <v>8403</v>
      </c>
      <c r="AF611">
        <v>4</v>
      </c>
      <c r="AG611" t="s">
        <v>9269</v>
      </c>
      <c r="AI611">
        <v>1</v>
      </c>
      <c r="AJ611">
        <v>3</v>
      </c>
      <c r="AK611">
        <v>2</v>
      </c>
      <c r="AL611">
        <v>44.95</v>
      </c>
      <c r="AO611" t="s">
        <v>1425</v>
      </c>
      <c r="AP611">
        <v>13224</v>
      </c>
      <c r="AR611" t="s">
        <v>9328</v>
      </c>
      <c r="AS611" t="s">
        <v>9337</v>
      </c>
      <c r="AT611" t="s">
        <v>9369</v>
      </c>
      <c r="AU611" t="s">
        <v>9480</v>
      </c>
      <c r="AV611">
        <v>11.9</v>
      </c>
      <c r="AW611" t="s">
        <v>74</v>
      </c>
    </row>
    <row r="612" spans="1:49">
      <c r="A612" s="1">
        <f>HYPERLINK("https://cms.ls-nyc.org/matter/dynamic-profile/view/1877592","18-1877592")</f>
        <v>0</v>
      </c>
      <c r="B612" t="s">
        <v>65</v>
      </c>
      <c r="C612" t="s">
        <v>82</v>
      </c>
      <c r="D612" t="s">
        <v>180</v>
      </c>
      <c r="E612" t="s">
        <v>242</v>
      </c>
      <c r="F612" t="s">
        <v>807</v>
      </c>
      <c r="G612" t="s">
        <v>1879</v>
      </c>
      <c r="H612" t="s">
        <v>3059</v>
      </c>
      <c r="I612" t="s">
        <v>4041</v>
      </c>
      <c r="J612" t="s">
        <v>4233</v>
      </c>
      <c r="K612">
        <v>11375</v>
      </c>
      <c r="L612" t="s">
        <v>4275</v>
      </c>
      <c r="M612" t="s">
        <v>4275</v>
      </c>
      <c r="O612" t="s">
        <v>4283</v>
      </c>
      <c r="P612" t="s">
        <v>4864</v>
      </c>
      <c r="Q612" t="s">
        <v>5732</v>
      </c>
      <c r="R612" t="s">
        <v>5753</v>
      </c>
      <c r="S612" t="s">
        <v>5759</v>
      </c>
      <c r="T612" t="s">
        <v>4276</v>
      </c>
      <c r="V612" t="s">
        <v>5767</v>
      </c>
      <c r="W612" t="s">
        <v>5772</v>
      </c>
      <c r="X612" t="s">
        <v>242</v>
      </c>
      <c r="Y612">
        <v>897.47</v>
      </c>
      <c r="Z612" t="s">
        <v>5803</v>
      </c>
      <c r="AA612" t="s">
        <v>5804</v>
      </c>
      <c r="AB612" t="s">
        <v>5821</v>
      </c>
      <c r="AC612" t="s">
        <v>6407</v>
      </c>
      <c r="AD612" t="s">
        <v>7535</v>
      </c>
      <c r="AE612" t="s">
        <v>8404</v>
      </c>
      <c r="AF612">
        <v>105</v>
      </c>
      <c r="AG612" t="s">
        <v>9272</v>
      </c>
      <c r="AH612" t="s">
        <v>4280</v>
      </c>
      <c r="AI612">
        <v>20</v>
      </c>
      <c r="AJ612">
        <v>2</v>
      </c>
      <c r="AK612">
        <v>0</v>
      </c>
      <c r="AL612">
        <v>45.57</v>
      </c>
      <c r="AO612" t="s">
        <v>1425</v>
      </c>
      <c r="AP612">
        <v>7500</v>
      </c>
      <c r="AV612">
        <v>1.1</v>
      </c>
      <c r="AW612" t="s">
        <v>73</v>
      </c>
    </row>
    <row r="613" spans="1:49">
      <c r="A613" s="1">
        <f>HYPERLINK("https://cms.ls-nyc.org/matter/dynamic-profile/view/1881991","18-1881991")</f>
        <v>0</v>
      </c>
      <c r="B613" t="s">
        <v>65</v>
      </c>
      <c r="C613" t="s">
        <v>83</v>
      </c>
      <c r="D613" t="s">
        <v>201</v>
      </c>
      <c r="F613" t="s">
        <v>808</v>
      </c>
      <c r="G613" t="s">
        <v>1880</v>
      </c>
      <c r="H613" t="s">
        <v>3060</v>
      </c>
      <c r="I613" t="s">
        <v>3870</v>
      </c>
      <c r="J613" t="s">
        <v>4231</v>
      </c>
      <c r="K613">
        <v>11419</v>
      </c>
      <c r="L613" t="s">
        <v>4275</v>
      </c>
      <c r="M613" t="s">
        <v>4275</v>
      </c>
      <c r="O613" t="s">
        <v>4282</v>
      </c>
      <c r="P613" t="s">
        <v>4865</v>
      </c>
      <c r="Q613" t="s">
        <v>5732</v>
      </c>
      <c r="R613" t="s">
        <v>5752</v>
      </c>
      <c r="T613" t="s">
        <v>4276</v>
      </c>
      <c r="V613" t="s">
        <v>5767</v>
      </c>
      <c r="Y613">
        <v>825</v>
      </c>
      <c r="Z613" t="s">
        <v>5803</v>
      </c>
      <c r="AA613" t="s">
        <v>5804</v>
      </c>
      <c r="AC613" t="s">
        <v>6408</v>
      </c>
      <c r="AD613" t="s">
        <v>7536</v>
      </c>
      <c r="AE613" t="s">
        <v>8405</v>
      </c>
      <c r="AF613">
        <v>4</v>
      </c>
      <c r="AG613" t="s">
        <v>9270</v>
      </c>
      <c r="AH613" t="s">
        <v>4280</v>
      </c>
      <c r="AI613">
        <v>21</v>
      </c>
      <c r="AJ613">
        <v>1</v>
      </c>
      <c r="AK613">
        <v>0</v>
      </c>
      <c r="AL613">
        <v>51.8</v>
      </c>
      <c r="AO613" t="s">
        <v>9315</v>
      </c>
      <c r="AP613">
        <v>6288</v>
      </c>
      <c r="AV613">
        <v>6.3</v>
      </c>
      <c r="AW613" t="s">
        <v>54</v>
      </c>
    </row>
    <row r="614" spans="1:49">
      <c r="A614" s="1">
        <f>HYPERLINK("https://cms.ls-nyc.org/matter/dynamic-profile/view/1882159","18-1882159")</f>
        <v>0</v>
      </c>
      <c r="B614" t="s">
        <v>65</v>
      </c>
      <c r="C614" t="s">
        <v>82</v>
      </c>
      <c r="D614" t="s">
        <v>130</v>
      </c>
      <c r="E614" t="s">
        <v>253</v>
      </c>
      <c r="F614" t="s">
        <v>809</v>
      </c>
      <c r="G614" t="s">
        <v>1881</v>
      </c>
      <c r="H614" t="s">
        <v>3061</v>
      </c>
      <c r="J614" t="s">
        <v>4222</v>
      </c>
      <c r="K614">
        <v>11436</v>
      </c>
      <c r="L614" t="s">
        <v>4275</v>
      </c>
      <c r="M614" t="s">
        <v>4275</v>
      </c>
      <c r="O614" t="s">
        <v>4283</v>
      </c>
      <c r="P614" t="s">
        <v>4866</v>
      </c>
      <c r="Q614" t="s">
        <v>5732</v>
      </c>
      <c r="R614" t="s">
        <v>5753</v>
      </c>
      <c r="S614" t="s">
        <v>5759</v>
      </c>
      <c r="T614" t="s">
        <v>4276</v>
      </c>
      <c r="V614" t="s">
        <v>5767</v>
      </c>
      <c r="W614" t="s">
        <v>5771</v>
      </c>
      <c r="X614" t="s">
        <v>130</v>
      </c>
      <c r="Y614">
        <v>1000</v>
      </c>
      <c r="Z614" t="s">
        <v>5803</v>
      </c>
      <c r="AA614" t="s">
        <v>5804</v>
      </c>
      <c r="AB614" t="s">
        <v>5821</v>
      </c>
      <c r="AC614" t="s">
        <v>6409</v>
      </c>
      <c r="AE614" t="s">
        <v>8406</v>
      </c>
      <c r="AF614">
        <v>1</v>
      </c>
      <c r="AG614" t="s">
        <v>9269</v>
      </c>
      <c r="AH614" t="s">
        <v>4280</v>
      </c>
      <c r="AI614">
        <v>11</v>
      </c>
      <c r="AJ614">
        <v>3</v>
      </c>
      <c r="AK614">
        <v>2</v>
      </c>
      <c r="AL614">
        <v>53.03</v>
      </c>
      <c r="AO614" t="s">
        <v>1425</v>
      </c>
      <c r="AP614">
        <v>15600</v>
      </c>
      <c r="AV614">
        <v>0.6</v>
      </c>
      <c r="AW614" t="s">
        <v>73</v>
      </c>
    </row>
    <row r="615" spans="1:49">
      <c r="A615" s="1">
        <f>HYPERLINK("https://cms.ls-nyc.org/matter/dynamic-profile/view/1900393","19-1900393")</f>
        <v>0</v>
      </c>
      <c r="B615" t="s">
        <v>65</v>
      </c>
      <c r="C615" t="s">
        <v>83</v>
      </c>
      <c r="D615" t="s">
        <v>232</v>
      </c>
      <c r="F615" t="s">
        <v>327</v>
      </c>
      <c r="G615" t="s">
        <v>1882</v>
      </c>
      <c r="H615" t="s">
        <v>3062</v>
      </c>
      <c r="I615" t="s">
        <v>3964</v>
      </c>
      <c r="J615" t="s">
        <v>4267</v>
      </c>
      <c r="K615">
        <v>11372</v>
      </c>
      <c r="L615" t="s">
        <v>4275</v>
      </c>
      <c r="M615" t="s">
        <v>4277</v>
      </c>
      <c r="N615" t="s">
        <v>4278</v>
      </c>
      <c r="O615" t="s">
        <v>4283</v>
      </c>
      <c r="P615" t="s">
        <v>4867</v>
      </c>
      <c r="Q615" t="s">
        <v>5732</v>
      </c>
      <c r="R615" t="s">
        <v>5752</v>
      </c>
      <c r="T615" t="s">
        <v>4276</v>
      </c>
      <c r="V615" t="s">
        <v>5767</v>
      </c>
      <c r="X615" t="s">
        <v>232</v>
      </c>
      <c r="Y615">
        <v>725</v>
      </c>
      <c r="Z615" t="s">
        <v>5803</v>
      </c>
      <c r="AA615" t="s">
        <v>5808</v>
      </c>
      <c r="AC615" t="s">
        <v>6410</v>
      </c>
      <c r="AE615" t="s">
        <v>7289</v>
      </c>
      <c r="AF615">
        <v>60</v>
      </c>
      <c r="AG615" t="s">
        <v>9270</v>
      </c>
      <c r="AH615" t="s">
        <v>4280</v>
      </c>
      <c r="AI615">
        <v>50</v>
      </c>
      <c r="AJ615">
        <v>2</v>
      </c>
      <c r="AK615">
        <v>1</v>
      </c>
      <c r="AL615">
        <v>56.26</v>
      </c>
      <c r="AO615" t="s">
        <v>1425</v>
      </c>
      <c r="AP615">
        <v>12000</v>
      </c>
      <c r="AV615">
        <v>1.45</v>
      </c>
      <c r="AW615" t="s">
        <v>54</v>
      </c>
    </row>
    <row r="616" spans="1:49">
      <c r="A616" s="1">
        <f>HYPERLINK("https://cms.ls-nyc.org/matter/dynamic-profile/view/1898722","19-1898722")</f>
        <v>0</v>
      </c>
      <c r="B616" t="s">
        <v>65</v>
      </c>
      <c r="C616" t="s">
        <v>83</v>
      </c>
      <c r="D616" t="s">
        <v>93</v>
      </c>
      <c r="F616" t="s">
        <v>376</v>
      </c>
      <c r="G616" t="s">
        <v>1867</v>
      </c>
      <c r="H616" t="s">
        <v>3063</v>
      </c>
      <c r="I616" t="s">
        <v>4042</v>
      </c>
      <c r="J616" t="s">
        <v>4255</v>
      </c>
      <c r="K616">
        <v>11372</v>
      </c>
      <c r="L616" t="s">
        <v>4275</v>
      </c>
      <c r="M616" t="s">
        <v>4275</v>
      </c>
      <c r="O616" t="s">
        <v>4283</v>
      </c>
      <c r="P616" t="s">
        <v>4868</v>
      </c>
      <c r="Q616" t="s">
        <v>5731</v>
      </c>
      <c r="R616" t="s">
        <v>5751</v>
      </c>
      <c r="T616" t="s">
        <v>4276</v>
      </c>
      <c r="V616" t="s">
        <v>5767</v>
      </c>
      <c r="X616" t="s">
        <v>93</v>
      </c>
      <c r="Y616">
        <v>1010.12</v>
      </c>
      <c r="Z616" t="s">
        <v>5803</v>
      </c>
      <c r="AA616" t="s">
        <v>5804</v>
      </c>
      <c r="AC616" t="s">
        <v>6411</v>
      </c>
      <c r="AE616" t="s">
        <v>8407</v>
      </c>
      <c r="AF616">
        <v>0</v>
      </c>
      <c r="AG616" t="s">
        <v>9270</v>
      </c>
      <c r="AH616" t="s">
        <v>4280</v>
      </c>
      <c r="AI616">
        <v>25</v>
      </c>
      <c r="AJ616">
        <v>3</v>
      </c>
      <c r="AK616">
        <v>0</v>
      </c>
      <c r="AL616">
        <v>57.83</v>
      </c>
      <c r="AO616" t="s">
        <v>9298</v>
      </c>
      <c r="AP616">
        <v>12336</v>
      </c>
      <c r="AV616">
        <v>6.75</v>
      </c>
      <c r="AW616" t="s">
        <v>54</v>
      </c>
    </row>
    <row r="617" spans="1:49">
      <c r="A617" s="1">
        <f>HYPERLINK("https://cms.ls-nyc.org/matter/dynamic-profile/view/1892691","19-1892691")</f>
        <v>0</v>
      </c>
      <c r="B617" t="s">
        <v>65</v>
      </c>
      <c r="C617" t="s">
        <v>82</v>
      </c>
      <c r="D617" t="s">
        <v>134</v>
      </c>
      <c r="E617" t="s">
        <v>179</v>
      </c>
      <c r="F617" t="s">
        <v>810</v>
      </c>
      <c r="G617" t="s">
        <v>1438</v>
      </c>
      <c r="H617" t="s">
        <v>3064</v>
      </c>
      <c r="I617" t="s">
        <v>3990</v>
      </c>
      <c r="J617" t="s">
        <v>4225</v>
      </c>
      <c r="K617">
        <v>11385</v>
      </c>
      <c r="L617" t="s">
        <v>4275</v>
      </c>
      <c r="M617" t="s">
        <v>4275</v>
      </c>
      <c r="O617" t="s">
        <v>4281</v>
      </c>
      <c r="P617" t="s">
        <v>4869</v>
      </c>
      <c r="Q617" t="s">
        <v>5731</v>
      </c>
      <c r="R617" t="s">
        <v>5753</v>
      </c>
      <c r="S617" t="s">
        <v>5759</v>
      </c>
      <c r="T617" t="s">
        <v>4276</v>
      </c>
      <c r="V617" t="s">
        <v>5767</v>
      </c>
      <c r="X617" t="s">
        <v>134</v>
      </c>
      <c r="Y617">
        <v>1151.31</v>
      </c>
      <c r="Z617" t="s">
        <v>5803</v>
      </c>
      <c r="AA617" t="s">
        <v>5804</v>
      </c>
      <c r="AB617" t="s">
        <v>5821</v>
      </c>
      <c r="AC617" t="s">
        <v>6412</v>
      </c>
      <c r="AD617" t="s">
        <v>7537</v>
      </c>
      <c r="AE617" t="s">
        <v>8408</v>
      </c>
      <c r="AF617">
        <v>14</v>
      </c>
      <c r="AG617" t="s">
        <v>9272</v>
      </c>
      <c r="AH617" t="s">
        <v>4280</v>
      </c>
      <c r="AI617">
        <v>30</v>
      </c>
      <c r="AJ617">
        <v>2</v>
      </c>
      <c r="AK617">
        <v>0</v>
      </c>
      <c r="AL617">
        <v>59.48</v>
      </c>
      <c r="AO617" t="s">
        <v>1425</v>
      </c>
      <c r="AP617">
        <v>10058</v>
      </c>
      <c r="AV617">
        <v>0.9</v>
      </c>
      <c r="AW617" t="s">
        <v>54</v>
      </c>
    </row>
    <row r="618" spans="1:49">
      <c r="A618" s="1">
        <f>HYPERLINK("https://cms.ls-nyc.org/matter/dynamic-profile/view/1896243","19-1896243")</f>
        <v>0</v>
      </c>
      <c r="B618" t="s">
        <v>65</v>
      </c>
      <c r="C618" t="s">
        <v>83</v>
      </c>
      <c r="D618" t="s">
        <v>132</v>
      </c>
      <c r="F618" t="s">
        <v>811</v>
      </c>
      <c r="G618" t="s">
        <v>1883</v>
      </c>
      <c r="H618" t="s">
        <v>3050</v>
      </c>
      <c r="I618" t="s">
        <v>4043</v>
      </c>
      <c r="J618" t="s">
        <v>4243</v>
      </c>
      <c r="K618">
        <v>11691</v>
      </c>
      <c r="L618" t="s">
        <v>4275</v>
      </c>
      <c r="M618" t="s">
        <v>4275</v>
      </c>
      <c r="O618" t="s">
        <v>4283</v>
      </c>
      <c r="Q618" t="s">
        <v>5738</v>
      </c>
      <c r="R618" t="s">
        <v>5752</v>
      </c>
      <c r="T618" t="s">
        <v>4275</v>
      </c>
      <c r="V618" t="s">
        <v>5767</v>
      </c>
      <c r="X618" t="s">
        <v>132</v>
      </c>
      <c r="Y618">
        <v>340</v>
      </c>
      <c r="Z618" t="s">
        <v>5803</v>
      </c>
      <c r="AA618" t="s">
        <v>5804</v>
      </c>
      <c r="AC618" t="s">
        <v>6413</v>
      </c>
      <c r="AE618" t="s">
        <v>8409</v>
      </c>
      <c r="AF618">
        <v>43</v>
      </c>
      <c r="AI618">
        <v>43</v>
      </c>
      <c r="AJ618">
        <v>1</v>
      </c>
      <c r="AK618">
        <v>0</v>
      </c>
      <c r="AL618">
        <v>59.57</v>
      </c>
      <c r="AO618" t="s">
        <v>1425</v>
      </c>
      <c r="AP618">
        <v>7440</v>
      </c>
      <c r="AV618">
        <v>0</v>
      </c>
      <c r="AW618" t="s">
        <v>9547</v>
      </c>
    </row>
    <row r="619" spans="1:49">
      <c r="A619" s="1">
        <f>HYPERLINK("https://cms.ls-nyc.org/matter/dynamic-profile/view/1896249","19-1896249")</f>
        <v>0</v>
      </c>
      <c r="B619" t="s">
        <v>65</v>
      </c>
      <c r="C619" t="s">
        <v>83</v>
      </c>
      <c r="D619" t="s">
        <v>132</v>
      </c>
      <c r="F619" t="s">
        <v>811</v>
      </c>
      <c r="G619" t="s">
        <v>1883</v>
      </c>
      <c r="H619" t="s">
        <v>3050</v>
      </c>
      <c r="I619" t="s">
        <v>4043</v>
      </c>
      <c r="J619" t="s">
        <v>4243</v>
      </c>
      <c r="K619">
        <v>11691</v>
      </c>
      <c r="L619" t="s">
        <v>4275</v>
      </c>
      <c r="M619" t="s">
        <v>4275</v>
      </c>
      <c r="O619" t="s">
        <v>4283</v>
      </c>
      <c r="Q619" t="s">
        <v>5737</v>
      </c>
      <c r="R619" t="s">
        <v>5754</v>
      </c>
      <c r="T619" t="s">
        <v>4275</v>
      </c>
      <c r="V619" t="s">
        <v>5767</v>
      </c>
      <c r="X619" t="s">
        <v>132</v>
      </c>
      <c r="Y619">
        <v>340</v>
      </c>
      <c r="Z619" t="s">
        <v>5803</v>
      </c>
      <c r="AC619" t="s">
        <v>6413</v>
      </c>
      <c r="AE619" t="s">
        <v>8409</v>
      </c>
      <c r="AF619">
        <v>43</v>
      </c>
      <c r="AI619">
        <v>43</v>
      </c>
      <c r="AJ619">
        <v>1</v>
      </c>
      <c r="AK619">
        <v>0</v>
      </c>
      <c r="AL619">
        <v>59.57</v>
      </c>
      <c r="AO619" t="s">
        <v>1425</v>
      </c>
      <c r="AP619">
        <v>7440</v>
      </c>
      <c r="AV619">
        <v>0</v>
      </c>
      <c r="AW619" t="s">
        <v>9547</v>
      </c>
    </row>
    <row r="620" spans="1:49">
      <c r="A620" s="1">
        <f>HYPERLINK("https://cms.ls-nyc.org/matter/dynamic-profile/view/1892258","19-1892258")</f>
        <v>0</v>
      </c>
      <c r="B620" t="s">
        <v>65</v>
      </c>
      <c r="C620" t="s">
        <v>83</v>
      </c>
      <c r="D620" t="s">
        <v>160</v>
      </c>
      <c r="F620" t="s">
        <v>812</v>
      </c>
      <c r="G620" t="s">
        <v>1884</v>
      </c>
      <c r="H620" t="s">
        <v>3065</v>
      </c>
      <c r="I620">
        <v>109</v>
      </c>
      <c r="J620" t="s">
        <v>4268</v>
      </c>
      <c r="K620">
        <v>11378</v>
      </c>
      <c r="L620" t="s">
        <v>4275</v>
      </c>
      <c r="M620" t="s">
        <v>4275</v>
      </c>
      <c r="O620" t="s">
        <v>4282</v>
      </c>
      <c r="P620" t="s">
        <v>4870</v>
      </c>
      <c r="Q620" t="s">
        <v>5731</v>
      </c>
      <c r="R620" t="s">
        <v>5751</v>
      </c>
      <c r="T620" t="s">
        <v>4276</v>
      </c>
      <c r="V620" t="s">
        <v>5767</v>
      </c>
      <c r="W620" t="s">
        <v>5772</v>
      </c>
      <c r="X620" t="s">
        <v>160</v>
      </c>
      <c r="Y620">
        <v>1900</v>
      </c>
      <c r="Z620" t="s">
        <v>5803</v>
      </c>
      <c r="AA620" t="s">
        <v>5804</v>
      </c>
      <c r="AC620" t="s">
        <v>6414</v>
      </c>
      <c r="AE620" t="s">
        <v>8410</v>
      </c>
      <c r="AF620">
        <v>0</v>
      </c>
      <c r="AG620" t="s">
        <v>9272</v>
      </c>
      <c r="AI620">
        <v>13</v>
      </c>
      <c r="AJ620">
        <v>2</v>
      </c>
      <c r="AK620">
        <v>3</v>
      </c>
      <c r="AL620">
        <v>59.66</v>
      </c>
      <c r="AO620" t="s">
        <v>1425</v>
      </c>
      <c r="AP620">
        <v>18000</v>
      </c>
      <c r="AV620">
        <v>3.4</v>
      </c>
      <c r="AW620" t="s">
        <v>65</v>
      </c>
    </row>
    <row r="621" spans="1:49">
      <c r="A621" s="1">
        <f>HYPERLINK("https://cms.ls-nyc.org/matter/dynamic-profile/view/1897119","19-1897119")</f>
        <v>0</v>
      </c>
      <c r="B621" t="s">
        <v>65</v>
      </c>
      <c r="C621" t="s">
        <v>83</v>
      </c>
      <c r="D621" t="s">
        <v>106</v>
      </c>
      <c r="F621" t="s">
        <v>813</v>
      </c>
      <c r="G621" t="s">
        <v>1667</v>
      </c>
      <c r="H621" t="s">
        <v>3050</v>
      </c>
      <c r="I621" t="s">
        <v>4044</v>
      </c>
      <c r="J621" t="s">
        <v>4243</v>
      </c>
      <c r="K621">
        <v>11691</v>
      </c>
      <c r="L621" t="s">
        <v>4275</v>
      </c>
      <c r="M621" t="s">
        <v>4275</v>
      </c>
      <c r="O621" t="s">
        <v>4283</v>
      </c>
      <c r="Q621" t="s">
        <v>5738</v>
      </c>
      <c r="R621" t="s">
        <v>5755</v>
      </c>
      <c r="T621" t="s">
        <v>4275</v>
      </c>
      <c r="V621" t="s">
        <v>5767</v>
      </c>
      <c r="X621" t="s">
        <v>106</v>
      </c>
      <c r="Y621">
        <v>660</v>
      </c>
      <c r="Z621" t="s">
        <v>5803</v>
      </c>
      <c r="AA621" t="s">
        <v>5816</v>
      </c>
      <c r="AC621" t="s">
        <v>6415</v>
      </c>
      <c r="AE621" t="s">
        <v>8411</v>
      </c>
      <c r="AF621">
        <v>43</v>
      </c>
      <c r="AG621" t="s">
        <v>9272</v>
      </c>
      <c r="AH621" t="s">
        <v>4280</v>
      </c>
      <c r="AI621">
        <v>10</v>
      </c>
      <c r="AJ621">
        <v>3</v>
      </c>
      <c r="AK621">
        <v>1</v>
      </c>
      <c r="AL621">
        <v>60.58</v>
      </c>
      <c r="AO621" t="s">
        <v>1425</v>
      </c>
      <c r="AP621">
        <v>15600</v>
      </c>
      <c r="AV621">
        <v>0</v>
      </c>
      <c r="AW621" t="s">
        <v>54</v>
      </c>
    </row>
    <row r="622" spans="1:49">
      <c r="A622" s="1">
        <f>HYPERLINK("https://cms.ls-nyc.org/matter/dynamic-profile/view/1897230","19-1897230")</f>
        <v>0</v>
      </c>
      <c r="B622" t="s">
        <v>65</v>
      </c>
      <c r="C622" t="s">
        <v>83</v>
      </c>
      <c r="D622" t="s">
        <v>106</v>
      </c>
      <c r="F622" t="s">
        <v>813</v>
      </c>
      <c r="G622" t="s">
        <v>1667</v>
      </c>
      <c r="H622" t="s">
        <v>3050</v>
      </c>
      <c r="I622" t="s">
        <v>4044</v>
      </c>
      <c r="J622" t="s">
        <v>4243</v>
      </c>
      <c r="K622">
        <v>11691</v>
      </c>
      <c r="L622" t="s">
        <v>4275</v>
      </c>
      <c r="M622" t="s">
        <v>4275</v>
      </c>
      <c r="O622" t="s">
        <v>4283</v>
      </c>
      <c r="Q622" t="s">
        <v>5737</v>
      </c>
      <c r="R622" t="s">
        <v>5754</v>
      </c>
      <c r="T622" t="s">
        <v>4275</v>
      </c>
      <c r="V622" t="s">
        <v>5767</v>
      </c>
      <c r="X622" t="s">
        <v>106</v>
      </c>
      <c r="Y622">
        <v>660</v>
      </c>
      <c r="Z622" t="s">
        <v>5803</v>
      </c>
      <c r="AA622" t="s">
        <v>5816</v>
      </c>
      <c r="AC622" t="s">
        <v>6415</v>
      </c>
      <c r="AE622" t="s">
        <v>8411</v>
      </c>
      <c r="AF622">
        <v>43</v>
      </c>
      <c r="AG622" t="s">
        <v>9272</v>
      </c>
      <c r="AH622" t="s">
        <v>4280</v>
      </c>
      <c r="AI622">
        <v>10</v>
      </c>
      <c r="AJ622">
        <v>3</v>
      </c>
      <c r="AK622">
        <v>1</v>
      </c>
      <c r="AL622">
        <v>60.58</v>
      </c>
      <c r="AO622" t="s">
        <v>1425</v>
      </c>
      <c r="AP622">
        <v>15600</v>
      </c>
      <c r="AV622">
        <v>0</v>
      </c>
      <c r="AW622" t="s">
        <v>54</v>
      </c>
    </row>
    <row r="623" spans="1:49">
      <c r="A623" s="1">
        <f>HYPERLINK("https://cms.ls-nyc.org/matter/dynamic-profile/view/1893180","19-1893180")</f>
        <v>0</v>
      </c>
      <c r="B623" t="s">
        <v>65</v>
      </c>
      <c r="C623" t="s">
        <v>83</v>
      </c>
      <c r="D623" t="s">
        <v>157</v>
      </c>
      <c r="F623" t="s">
        <v>434</v>
      </c>
      <c r="G623" t="s">
        <v>1488</v>
      </c>
      <c r="H623" t="s">
        <v>2613</v>
      </c>
      <c r="I623" t="s">
        <v>3904</v>
      </c>
      <c r="J623" t="s">
        <v>4243</v>
      </c>
      <c r="K623">
        <v>11691</v>
      </c>
      <c r="L623" t="s">
        <v>4275</v>
      </c>
      <c r="M623" t="s">
        <v>4275</v>
      </c>
      <c r="O623" t="s">
        <v>4283</v>
      </c>
      <c r="Q623" t="s">
        <v>5740</v>
      </c>
      <c r="R623" t="s">
        <v>5754</v>
      </c>
      <c r="T623" t="s">
        <v>4276</v>
      </c>
      <c r="V623" t="s">
        <v>5767</v>
      </c>
      <c r="X623" t="s">
        <v>157</v>
      </c>
      <c r="Y623">
        <v>940</v>
      </c>
      <c r="Z623" t="s">
        <v>5803</v>
      </c>
      <c r="AA623" t="s">
        <v>5808</v>
      </c>
      <c r="AC623" t="s">
        <v>5953</v>
      </c>
      <c r="AD623" t="s">
        <v>7337</v>
      </c>
      <c r="AE623" t="s">
        <v>7962</v>
      </c>
      <c r="AF623">
        <v>240</v>
      </c>
      <c r="AG623" t="s">
        <v>9273</v>
      </c>
      <c r="AH623" t="s">
        <v>9282</v>
      </c>
      <c r="AI623">
        <v>4</v>
      </c>
      <c r="AJ623">
        <v>1</v>
      </c>
      <c r="AK623">
        <v>0</v>
      </c>
      <c r="AL623">
        <v>62.74</v>
      </c>
      <c r="AO623" t="s">
        <v>1425</v>
      </c>
      <c r="AP623">
        <v>7836</v>
      </c>
      <c r="AS623" t="s">
        <v>5806</v>
      </c>
      <c r="AV623">
        <v>1.3</v>
      </c>
      <c r="AW623" t="s">
        <v>54</v>
      </c>
    </row>
    <row r="624" spans="1:49">
      <c r="A624" s="1">
        <f>HYPERLINK("https://cms.ls-nyc.org/matter/dynamic-profile/view/1895718","19-1895718")</f>
        <v>0</v>
      </c>
      <c r="B624" t="s">
        <v>65</v>
      </c>
      <c r="C624" t="s">
        <v>83</v>
      </c>
      <c r="D624" t="s">
        <v>94</v>
      </c>
      <c r="F624" t="s">
        <v>597</v>
      </c>
      <c r="G624" t="s">
        <v>337</v>
      </c>
      <c r="H624" t="s">
        <v>3050</v>
      </c>
      <c r="I624" t="s">
        <v>4045</v>
      </c>
      <c r="J624" t="s">
        <v>4243</v>
      </c>
      <c r="K624">
        <v>11691</v>
      </c>
      <c r="L624" t="s">
        <v>4275</v>
      </c>
      <c r="M624" t="s">
        <v>4275</v>
      </c>
      <c r="O624" t="s">
        <v>4283</v>
      </c>
      <c r="Q624" t="s">
        <v>5738</v>
      </c>
      <c r="R624" t="s">
        <v>5755</v>
      </c>
      <c r="T624" t="s">
        <v>4275</v>
      </c>
      <c r="V624" t="s">
        <v>5767</v>
      </c>
      <c r="X624" t="s">
        <v>94</v>
      </c>
      <c r="Y624">
        <v>637</v>
      </c>
      <c r="Z624" t="s">
        <v>5803</v>
      </c>
      <c r="AA624" t="s">
        <v>5816</v>
      </c>
      <c r="AC624" t="s">
        <v>6416</v>
      </c>
      <c r="AE624" t="s">
        <v>8412</v>
      </c>
      <c r="AF624">
        <v>43</v>
      </c>
      <c r="AG624" t="s">
        <v>9272</v>
      </c>
      <c r="AI624">
        <v>20</v>
      </c>
      <c r="AJ624">
        <v>1</v>
      </c>
      <c r="AK624">
        <v>0</v>
      </c>
      <c r="AL624">
        <v>64.05</v>
      </c>
      <c r="AO624" t="s">
        <v>1425</v>
      </c>
      <c r="AP624">
        <v>8000</v>
      </c>
      <c r="AV624">
        <v>0.15</v>
      </c>
      <c r="AW624" t="s">
        <v>9547</v>
      </c>
    </row>
    <row r="625" spans="1:49">
      <c r="A625" s="1">
        <f>HYPERLINK("https://cms.ls-nyc.org/matter/dynamic-profile/view/1895748","19-1895748")</f>
        <v>0</v>
      </c>
      <c r="B625" t="s">
        <v>65</v>
      </c>
      <c r="C625" t="s">
        <v>83</v>
      </c>
      <c r="D625" t="s">
        <v>94</v>
      </c>
      <c r="F625" t="s">
        <v>597</v>
      </c>
      <c r="G625" t="s">
        <v>337</v>
      </c>
      <c r="H625" t="s">
        <v>3050</v>
      </c>
      <c r="I625" t="s">
        <v>4045</v>
      </c>
      <c r="J625" t="s">
        <v>4243</v>
      </c>
      <c r="K625">
        <v>11691</v>
      </c>
      <c r="L625" t="s">
        <v>4275</v>
      </c>
      <c r="M625" t="s">
        <v>4275</v>
      </c>
      <c r="O625" t="s">
        <v>4283</v>
      </c>
      <c r="Q625" t="s">
        <v>5737</v>
      </c>
      <c r="R625" t="s">
        <v>5754</v>
      </c>
      <c r="T625" t="s">
        <v>4275</v>
      </c>
      <c r="V625" t="s">
        <v>5767</v>
      </c>
      <c r="X625" t="s">
        <v>94</v>
      </c>
      <c r="Y625">
        <v>637</v>
      </c>
      <c r="Z625" t="s">
        <v>5803</v>
      </c>
      <c r="AA625" t="s">
        <v>5816</v>
      </c>
      <c r="AC625" t="s">
        <v>6416</v>
      </c>
      <c r="AE625" t="s">
        <v>8412</v>
      </c>
      <c r="AF625">
        <v>43</v>
      </c>
      <c r="AG625" t="s">
        <v>9272</v>
      </c>
      <c r="AI625">
        <v>20</v>
      </c>
      <c r="AJ625">
        <v>1</v>
      </c>
      <c r="AK625">
        <v>0</v>
      </c>
      <c r="AL625">
        <v>64.05</v>
      </c>
      <c r="AO625" t="s">
        <v>1425</v>
      </c>
      <c r="AP625">
        <v>8000</v>
      </c>
      <c r="AV625">
        <v>38.15</v>
      </c>
      <c r="AW625" t="s">
        <v>9547</v>
      </c>
    </row>
    <row r="626" spans="1:49">
      <c r="A626" s="1">
        <f>HYPERLINK("https://cms.ls-nyc.org/matter/dynamic-profile/view/1878629","18-1878629")</f>
        <v>0</v>
      </c>
      <c r="B626" t="s">
        <v>65</v>
      </c>
      <c r="C626" t="s">
        <v>82</v>
      </c>
      <c r="D626" t="s">
        <v>147</v>
      </c>
      <c r="E626" t="s">
        <v>243</v>
      </c>
      <c r="F626" t="s">
        <v>810</v>
      </c>
      <c r="G626" t="s">
        <v>1885</v>
      </c>
      <c r="H626" t="s">
        <v>3066</v>
      </c>
      <c r="I626" t="s">
        <v>3996</v>
      </c>
      <c r="J626" t="s">
        <v>4261</v>
      </c>
      <c r="K626">
        <v>11361</v>
      </c>
      <c r="L626" t="s">
        <v>4275</v>
      </c>
      <c r="M626" t="s">
        <v>4275</v>
      </c>
      <c r="O626" t="s">
        <v>4283</v>
      </c>
      <c r="P626" t="s">
        <v>4871</v>
      </c>
      <c r="Q626" t="s">
        <v>5732</v>
      </c>
      <c r="R626" t="s">
        <v>5753</v>
      </c>
      <c r="S626" t="s">
        <v>5759</v>
      </c>
      <c r="T626" t="s">
        <v>4276</v>
      </c>
      <c r="V626" t="s">
        <v>5767</v>
      </c>
      <c r="W626" t="s">
        <v>5772</v>
      </c>
      <c r="X626" t="s">
        <v>146</v>
      </c>
      <c r="Y626">
        <v>1022</v>
      </c>
      <c r="Z626" t="s">
        <v>5803</v>
      </c>
      <c r="AA626" t="s">
        <v>5804</v>
      </c>
      <c r="AB626" t="s">
        <v>5821</v>
      </c>
      <c r="AC626" t="s">
        <v>6417</v>
      </c>
      <c r="AE626" t="s">
        <v>8413</v>
      </c>
      <c r="AF626">
        <v>18</v>
      </c>
      <c r="AG626" t="s">
        <v>9272</v>
      </c>
      <c r="AH626" t="s">
        <v>4280</v>
      </c>
      <c r="AI626">
        <v>22</v>
      </c>
      <c r="AJ626">
        <v>1</v>
      </c>
      <c r="AK626">
        <v>0</v>
      </c>
      <c r="AL626">
        <v>65.90000000000001</v>
      </c>
      <c r="AO626" t="s">
        <v>1425</v>
      </c>
      <c r="AP626">
        <v>8000</v>
      </c>
      <c r="AV626">
        <v>0.9</v>
      </c>
      <c r="AW626" t="s">
        <v>54</v>
      </c>
    </row>
    <row r="627" spans="1:49">
      <c r="A627" s="1">
        <f>HYPERLINK("https://cms.ls-nyc.org/matter/dynamic-profile/view/1879266","18-1879266")</f>
        <v>0</v>
      </c>
      <c r="B627" t="s">
        <v>65</v>
      </c>
      <c r="C627" t="s">
        <v>82</v>
      </c>
      <c r="D627" t="s">
        <v>243</v>
      </c>
      <c r="E627" t="s">
        <v>229</v>
      </c>
      <c r="F627" t="s">
        <v>370</v>
      </c>
      <c r="G627" t="s">
        <v>1840</v>
      </c>
      <c r="H627" t="s">
        <v>3067</v>
      </c>
      <c r="I627" t="s">
        <v>3878</v>
      </c>
      <c r="J627" t="s">
        <v>4250</v>
      </c>
      <c r="K627">
        <v>11412</v>
      </c>
      <c r="L627" t="s">
        <v>4275</v>
      </c>
      <c r="M627" t="s">
        <v>4275</v>
      </c>
      <c r="O627" t="s">
        <v>4283</v>
      </c>
      <c r="P627" t="s">
        <v>4872</v>
      </c>
      <c r="Q627" t="s">
        <v>5733</v>
      </c>
      <c r="R627" t="s">
        <v>5753</v>
      </c>
      <c r="S627" t="s">
        <v>5759</v>
      </c>
      <c r="T627" t="s">
        <v>4276</v>
      </c>
      <c r="V627" t="s">
        <v>5767</v>
      </c>
      <c r="W627" t="s">
        <v>5772</v>
      </c>
      <c r="X627" t="s">
        <v>128</v>
      </c>
      <c r="Y627">
        <v>800</v>
      </c>
      <c r="Z627" t="s">
        <v>5803</v>
      </c>
      <c r="AA627" t="s">
        <v>5804</v>
      </c>
      <c r="AB627" t="s">
        <v>5821</v>
      </c>
      <c r="AC627" t="s">
        <v>6418</v>
      </c>
      <c r="AE627" t="s">
        <v>8414</v>
      </c>
      <c r="AF627">
        <v>2</v>
      </c>
      <c r="AG627" t="s">
        <v>9269</v>
      </c>
      <c r="AH627" t="s">
        <v>4280</v>
      </c>
      <c r="AI627">
        <v>1</v>
      </c>
      <c r="AJ627">
        <v>1</v>
      </c>
      <c r="AK627">
        <v>0</v>
      </c>
      <c r="AL627">
        <v>69.19</v>
      </c>
      <c r="AO627" t="s">
        <v>1425</v>
      </c>
      <c r="AP627">
        <v>8400</v>
      </c>
      <c r="AV627">
        <v>0.8</v>
      </c>
      <c r="AW627" t="s">
        <v>73</v>
      </c>
    </row>
    <row r="628" spans="1:49">
      <c r="A628" s="1">
        <f>HYPERLINK("https://cms.ls-nyc.org/matter/dynamic-profile/view/1879474","18-1879474")</f>
        <v>0</v>
      </c>
      <c r="B628" t="s">
        <v>65</v>
      </c>
      <c r="C628" t="s">
        <v>82</v>
      </c>
      <c r="D628" t="s">
        <v>128</v>
      </c>
      <c r="E628" t="s">
        <v>229</v>
      </c>
      <c r="F628" t="s">
        <v>814</v>
      </c>
      <c r="G628" t="s">
        <v>1427</v>
      </c>
      <c r="H628" t="s">
        <v>3068</v>
      </c>
      <c r="I628" t="s">
        <v>3909</v>
      </c>
      <c r="J628" t="s">
        <v>4249</v>
      </c>
      <c r="K628">
        <v>11427</v>
      </c>
      <c r="L628" t="s">
        <v>4275</v>
      </c>
      <c r="M628" t="s">
        <v>4275</v>
      </c>
      <c r="O628" t="s">
        <v>4283</v>
      </c>
      <c r="P628" t="s">
        <v>4873</v>
      </c>
      <c r="Q628" t="s">
        <v>5732</v>
      </c>
      <c r="R628" t="s">
        <v>5753</v>
      </c>
      <c r="S628" t="s">
        <v>5759</v>
      </c>
      <c r="T628" t="s">
        <v>4276</v>
      </c>
      <c r="V628" t="s">
        <v>5767</v>
      </c>
      <c r="W628" t="s">
        <v>5772</v>
      </c>
      <c r="X628" t="s">
        <v>128</v>
      </c>
      <c r="Y628">
        <v>1800</v>
      </c>
      <c r="Z628" t="s">
        <v>5803</v>
      </c>
      <c r="AA628" t="s">
        <v>5804</v>
      </c>
      <c r="AB628" t="s">
        <v>5821</v>
      </c>
      <c r="AC628" t="s">
        <v>6419</v>
      </c>
      <c r="AE628" t="s">
        <v>8415</v>
      </c>
      <c r="AF628">
        <v>3</v>
      </c>
      <c r="AG628" t="s">
        <v>9269</v>
      </c>
      <c r="AH628" t="s">
        <v>4280</v>
      </c>
      <c r="AI628">
        <v>1</v>
      </c>
      <c r="AJ628">
        <v>3</v>
      </c>
      <c r="AK628">
        <v>0</v>
      </c>
      <c r="AL628">
        <v>71.55</v>
      </c>
      <c r="AO628" t="s">
        <v>1425</v>
      </c>
      <c r="AP628">
        <v>14868</v>
      </c>
      <c r="AV628">
        <v>0.6</v>
      </c>
      <c r="AW628" t="s">
        <v>73</v>
      </c>
    </row>
    <row r="629" spans="1:49">
      <c r="A629" s="1">
        <f>HYPERLINK("https://cms.ls-nyc.org/matter/dynamic-profile/view/1893348","19-1893348")</f>
        <v>0</v>
      </c>
      <c r="B629" t="s">
        <v>65</v>
      </c>
      <c r="C629" t="s">
        <v>83</v>
      </c>
      <c r="D629" t="s">
        <v>173</v>
      </c>
      <c r="F629" t="s">
        <v>460</v>
      </c>
      <c r="G629" t="s">
        <v>1512</v>
      </c>
      <c r="H629" t="s">
        <v>2638</v>
      </c>
      <c r="I629" t="s">
        <v>3919</v>
      </c>
      <c r="J629" t="s">
        <v>4243</v>
      </c>
      <c r="K629">
        <v>11691</v>
      </c>
      <c r="L629" t="s">
        <v>4275</v>
      </c>
      <c r="M629" t="s">
        <v>4275</v>
      </c>
      <c r="O629" t="s">
        <v>4283</v>
      </c>
      <c r="P629" t="s">
        <v>4436</v>
      </c>
      <c r="Q629" t="s">
        <v>5731</v>
      </c>
      <c r="R629" t="s">
        <v>5751</v>
      </c>
      <c r="T629" t="s">
        <v>4276</v>
      </c>
      <c r="V629" t="s">
        <v>5767</v>
      </c>
      <c r="W629" t="s">
        <v>5774</v>
      </c>
      <c r="X629" t="s">
        <v>173</v>
      </c>
      <c r="Y629">
        <v>222</v>
      </c>
      <c r="Z629" t="s">
        <v>5803</v>
      </c>
      <c r="AA629" t="s">
        <v>5807</v>
      </c>
      <c r="AC629" t="s">
        <v>5981</v>
      </c>
      <c r="AD629" t="s">
        <v>7350</v>
      </c>
      <c r="AE629" t="s">
        <v>7989</v>
      </c>
      <c r="AF629">
        <v>70</v>
      </c>
      <c r="AG629" t="s">
        <v>9278</v>
      </c>
      <c r="AH629" t="s">
        <v>4280</v>
      </c>
      <c r="AI629">
        <v>25</v>
      </c>
      <c r="AJ629">
        <v>1</v>
      </c>
      <c r="AK629">
        <v>0</v>
      </c>
      <c r="AL629">
        <v>72.06</v>
      </c>
      <c r="AO629" t="s">
        <v>9298</v>
      </c>
      <c r="AP629">
        <v>9000</v>
      </c>
      <c r="AR629" t="s">
        <v>9326</v>
      </c>
      <c r="AS629" t="s">
        <v>9356</v>
      </c>
      <c r="AT629" t="s">
        <v>9369</v>
      </c>
      <c r="AU629" t="s">
        <v>9452</v>
      </c>
      <c r="AV629">
        <v>2.1</v>
      </c>
      <c r="AW629" t="s">
        <v>54</v>
      </c>
    </row>
    <row r="630" spans="1:49">
      <c r="A630" s="1">
        <f>HYPERLINK("https://cms.ls-nyc.org/matter/dynamic-profile/view/1895261","19-1895261")</f>
        <v>0</v>
      </c>
      <c r="B630" t="s">
        <v>65</v>
      </c>
      <c r="C630" t="s">
        <v>83</v>
      </c>
      <c r="D630" t="s">
        <v>238</v>
      </c>
      <c r="F630" t="s">
        <v>355</v>
      </c>
      <c r="G630" t="s">
        <v>1450</v>
      </c>
      <c r="H630" t="s">
        <v>3069</v>
      </c>
      <c r="I630" t="s">
        <v>3946</v>
      </c>
      <c r="J630" t="s">
        <v>4243</v>
      </c>
      <c r="K630">
        <v>11691</v>
      </c>
      <c r="L630" t="s">
        <v>4275</v>
      </c>
      <c r="M630" t="s">
        <v>4275</v>
      </c>
      <c r="O630" t="s">
        <v>4283</v>
      </c>
      <c r="Q630" t="s">
        <v>4698</v>
      </c>
      <c r="R630" t="s">
        <v>5754</v>
      </c>
      <c r="T630" t="s">
        <v>4276</v>
      </c>
      <c r="V630" t="s">
        <v>5767</v>
      </c>
      <c r="X630" t="s">
        <v>218</v>
      </c>
      <c r="Y630">
        <v>1068</v>
      </c>
      <c r="Z630" t="s">
        <v>5803</v>
      </c>
      <c r="AC630" t="s">
        <v>6420</v>
      </c>
      <c r="AD630" t="s">
        <v>7538</v>
      </c>
      <c r="AE630" t="s">
        <v>8416</v>
      </c>
      <c r="AF630">
        <v>917</v>
      </c>
      <c r="AG630" t="s">
        <v>9272</v>
      </c>
      <c r="AH630" t="s">
        <v>5806</v>
      </c>
      <c r="AI630">
        <v>5</v>
      </c>
      <c r="AJ630">
        <v>1</v>
      </c>
      <c r="AK630">
        <v>0</v>
      </c>
      <c r="AL630">
        <v>72.15000000000001</v>
      </c>
      <c r="AO630" t="s">
        <v>1425</v>
      </c>
      <c r="AP630">
        <v>9012</v>
      </c>
      <c r="AV630">
        <v>0.75</v>
      </c>
      <c r="AW630" t="s">
        <v>65</v>
      </c>
    </row>
    <row r="631" spans="1:49">
      <c r="A631" s="1">
        <f>HYPERLINK("https://cms.ls-nyc.org/matter/dynamic-profile/view/1897237","19-1897237")</f>
        <v>0</v>
      </c>
      <c r="B631" t="s">
        <v>65</v>
      </c>
      <c r="C631" t="s">
        <v>83</v>
      </c>
      <c r="D631" t="s">
        <v>106</v>
      </c>
      <c r="F631" t="s">
        <v>388</v>
      </c>
      <c r="G631" t="s">
        <v>1886</v>
      </c>
      <c r="H631" t="s">
        <v>3050</v>
      </c>
      <c r="I631" t="s">
        <v>4001</v>
      </c>
      <c r="J631" t="s">
        <v>4243</v>
      </c>
      <c r="K631">
        <v>11691</v>
      </c>
      <c r="L631" t="s">
        <v>4275</v>
      </c>
      <c r="M631" t="s">
        <v>4275</v>
      </c>
      <c r="O631" t="s">
        <v>4283</v>
      </c>
      <c r="Q631" t="s">
        <v>5738</v>
      </c>
      <c r="R631" t="s">
        <v>5755</v>
      </c>
      <c r="T631" t="s">
        <v>4275</v>
      </c>
      <c r="V631" t="s">
        <v>5767</v>
      </c>
      <c r="X631" t="s">
        <v>106</v>
      </c>
      <c r="Y631">
        <v>819</v>
      </c>
      <c r="Z631" t="s">
        <v>5803</v>
      </c>
      <c r="AA631" t="s">
        <v>5816</v>
      </c>
      <c r="AC631" t="s">
        <v>6421</v>
      </c>
      <c r="AE631" t="s">
        <v>8417</v>
      </c>
      <c r="AF631">
        <v>43</v>
      </c>
      <c r="AG631" t="s">
        <v>9272</v>
      </c>
      <c r="AH631" t="s">
        <v>4280</v>
      </c>
      <c r="AI631">
        <v>15</v>
      </c>
      <c r="AJ631">
        <v>2</v>
      </c>
      <c r="AK631">
        <v>3</v>
      </c>
      <c r="AL631">
        <v>72.26000000000001</v>
      </c>
      <c r="AO631" t="s">
        <v>9298</v>
      </c>
      <c r="AP631">
        <v>21800</v>
      </c>
      <c r="AV631">
        <v>0</v>
      </c>
      <c r="AW631" t="s">
        <v>54</v>
      </c>
    </row>
    <row r="632" spans="1:49">
      <c r="A632" s="1">
        <f>HYPERLINK("https://cms.ls-nyc.org/matter/dynamic-profile/view/1891917","19-1891917")</f>
        <v>0</v>
      </c>
      <c r="B632" t="s">
        <v>65</v>
      </c>
      <c r="C632" t="s">
        <v>83</v>
      </c>
      <c r="D632" t="s">
        <v>165</v>
      </c>
      <c r="F632" t="s">
        <v>815</v>
      </c>
      <c r="G632" t="s">
        <v>1887</v>
      </c>
      <c r="H632" t="s">
        <v>3070</v>
      </c>
      <c r="I632" t="s">
        <v>3867</v>
      </c>
      <c r="J632" t="s">
        <v>4230</v>
      </c>
      <c r="K632">
        <v>11101</v>
      </c>
      <c r="L632" t="s">
        <v>4275</v>
      </c>
      <c r="M632" t="s">
        <v>4275</v>
      </c>
      <c r="O632" t="s">
        <v>4283</v>
      </c>
      <c r="P632" t="s">
        <v>4874</v>
      </c>
      <c r="Q632" t="s">
        <v>5732</v>
      </c>
      <c r="R632" t="s">
        <v>5751</v>
      </c>
      <c r="T632" t="s">
        <v>4276</v>
      </c>
      <c r="V632" t="s">
        <v>5767</v>
      </c>
      <c r="Y632">
        <v>1500</v>
      </c>
      <c r="Z632" t="s">
        <v>5803</v>
      </c>
      <c r="AA632" t="s">
        <v>5804</v>
      </c>
      <c r="AC632" t="s">
        <v>6422</v>
      </c>
      <c r="AE632" t="s">
        <v>8418</v>
      </c>
      <c r="AF632">
        <v>0</v>
      </c>
      <c r="AG632" t="s">
        <v>9270</v>
      </c>
      <c r="AH632" t="s">
        <v>4280</v>
      </c>
      <c r="AI632">
        <v>4</v>
      </c>
      <c r="AJ632">
        <v>1</v>
      </c>
      <c r="AK632">
        <v>0</v>
      </c>
      <c r="AL632">
        <v>74.08</v>
      </c>
      <c r="AO632" t="s">
        <v>9298</v>
      </c>
      <c r="AP632">
        <v>9252</v>
      </c>
      <c r="AV632">
        <v>5.4</v>
      </c>
      <c r="AW632" t="s">
        <v>54</v>
      </c>
    </row>
    <row r="633" spans="1:49">
      <c r="A633" s="1">
        <f>HYPERLINK("https://cms.ls-nyc.org/matter/dynamic-profile/view/1879335","18-1879335")</f>
        <v>0</v>
      </c>
      <c r="B633" t="s">
        <v>65</v>
      </c>
      <c r="C633" t="s">
        <v>83</v>
      </c>
      <c r="D633" t="s">
        <v>220</v>
      </c>
      <c r="F633" t="s">
        <v>816</v>
      </c>
      <c r="G633" t="s">
        <v>1888</v>
      </c>
      <c r="H633" t="s">
        <v>3071</v>
      </c>
      <c r="I633" t="s">
        <v>4046</v>
      </c>
      <c r="J633" t="s">
        <v>4243</v>
      </c>
      <c r="K633">
        <v>11691</v>
      </c>
      <c r="L633" t="s">
        <v>4275</v>
      </c>
      <c r="M633" t="s">
        <v>4275</v>
      </c>
      <c r="O633" t="s">
        <v>4283</v>
      </c>
      <c r="P633" t="s">
        <v>4875</v>
      </c>
      <c r="Q633" t="s">
        <v>5732</v>
      </c>
      <c r="R633" t="s">
        <v>5751</v>
      </c>
      <c r="T633" t="s">
        <v>4276</v>
      </c>
      <c r="V633" t="s">
        <v>5767</v>
      </c>
      <c r="W633" t="s">
        <v>5772</v>
      </c>
      <c r="X633" t="s">
        <v>220</v>
      </c>
      <c r="Y633">
        <v>1396</v>
      </c>
      <c r="Z633" t="s">
        <v>5803</v>
      </c>
      <c r="AA633" t="s">
        <v>5804</v>
      </c>
      <c r="AC633" t="s">
        <v>6423</v>
      </c>
      <c r="AD633" t="s">
        <v>7539</v>
      </c>
      <c r="AE633" t="s">
        <v>8419</v>
      </c>
      <c r="AF633">
        <v>917</v>
      </c>
      <c r="AG633" t="s">
        <v>9268</v>
      </c>
      <c r="AH633" t="s">
        <v>9282</v>
      </c>
      <c r="AI633">
        <v>7</v>
      </c>
      <c r="AJ633">
        <v>1</v>
      </c>
      <c r="AK633">
        <v>0</v>
      </c>
      <c r="AL633">
        <v>74.14</v>
      </c>
      <c r="AO633" t="s">
        <v>1425</v>
      </c>
      <c r="AP633">
        <v>9000</v>
      </c>
      <c r="AR633" t="s">
        <v>9328</v>
      </c>
      <c r="AS633" t="s">
        <v>9341</v>
      </c>
      <c r="AT633" t="s">
        <v>9369</v>
      </c>
      <c r="AU633" t="s">
        <v>9462</v>
      </c>
      <c r="AV633">
        <v>25.55</v>
      </c>
      <c r="AW633" t="s">
        <v>73</v>
      </c>
    </row>
    <row r="634" spans="1:49">
      <c r="A634" s="1">
        <f>HYPERLINK("https://cms.ls-nyc.org/matter/dynamic-profile/view/1878794","18-1878794")</f>
        <v>0</v>
      </c>
      <c r="B634" t="s">
        <v>65</v>
      </c>
      <c r="C634" t="s">
        <v>83</v>
      </c>
      <c r="D634" t="s">
        <v>215</v>
      </c>
      <c r="F634" t="s">
        <v>327</v>
      </c>
      <c r="G634" t="s">
        <v>1889</v>
      </c>
      <c r="H634" t="s">
        <v>3072</v>
      </c>
      <c r="I634" t="s">
        <v>4047</v>
      </c>
      <c r="J634" t="s">
        <v>4262</v>
      </c>
      <c r="K634">
        <v>11414</v>
      </c>
      <c r="L634" t="s">
        <v>4275</v>
      </c>
      <c r="M634" t="s">
        <v>4275</v>
      </c>
      <c r="O634" t="s">
        <v>4283</v>
      </c>
      <c r="P634" t="s">
        <v>4876</v>
      </c>
      <c r="Q634" t="s">
        <v>5732</v>
      </c>
      <c r="R634" t="s">
        <v>5751</v>
      </c>
      <c r="T634" t="s">
        <v>4276</v>
      </c>
      <c r="V634" t="s">
        <v>5767</v>
      </c>
      <c r="W634" t="s">
        <v>5772</v>
      </c>
      <c r="X634" t="s">
        <v>215</v>
      </c>
      <c r="Y634">
        <v>1900</v>
      </c>
      <c r="Z634" t="s">
        <v>5803</v>
      </c>
      <c r="AA634" t="s">
        <v>5804</v>
      </c>
      <c r="AC634" t="s">
        <v>6424</v>
      </c>
      <c r="AE634" t="s">
        <v>8420</v>
      </c>
      <c r="AF634">
        <v>2</v>
      </c>
      <c r="AG634" t="s">
        <v>9269</v>
      </c>
      <c r="AH634" t="s">
        <v>4280</v>
      </c>
      <c r="AI634">
        <v>2</v>
      </c>
      <c r="AJ634">
        <v>1</v>
      </c>
      <c r="AK634">
        <v>1</v>
      </c>
      <c r="AL634">
        <v>76.55</v>
      </c>
      <c r="AO634" t="s">
        <v>1425</v>
      </c>
      <c r="AP634">
        <v>12600</v>
      </c>
      <c r="AR634" t="s">
        <v>9329</v>
      </c>
      <c r="AS634" t="s">
        <v>5806</v>
      </c>
      <c r="AT634" t="s">
        <v>9370</v>
      </c>
      <c r="AU634" t="s">
        <v>9481</v>
      </c>
      <c r="AV634">
        <v>18.15</v>
      </c>
      <c r="AW634" t="s">
        <v>74</v>
      </c>
    </row>
    <row r="635" spans="1:49">
      <c r="A635" s="1">
        <f>HYPERLINK("https://cms.ls-nyc.org/matter/dynamic-profile/view/1889657","19-1889657")</f>
        <v>0</v>
      </c>
      <c r="B635" t="s">
        <v>65</v>
      </c>
      <c r="C635" t="s">
        <v>83</v>
      </c>
      <c r="D635" t="s">
        <v>244</v>
      </c>
      <c r="F635" t="s">
        <v>817</v>
      </c>
      <c r="G635" t="s">
        <v>1890</v>
      </c>
      <c r="H635" t="s">
        <v>2763</v>
      </c>
      <c r="I635" t="s">
        <v>4048</v>
      </c>
      <c r="J635" t="s">
        <v>4252</v>
      </c>
      <c r="K635">
        <v>11374</v>
      </c>
      <c r="L635" t="s">
        <v>4275</v>
      </c>
      <c r="M635" t="s">
        <v>4275</v>
      </c>
      <c r="O635" t="s">
        <v>4284</v>
      </c>
      <c r="P635" t="s">
        <v>4877</v>
      </c>
      <c r="Q635" t="s">
        <v>5731</v>
      </c>
      <c r="R635" t="s">
        <v>5754</v>
      </c>
      <c r="T635" t="s">
        <v>4276</v>
      </c>
      <c r="V635" t="s">
        <v>5767</v>
      </c>
      <c r="W635" t="s">
        <v>5771</v>
      </c>
      <c r="X635" t="s">
        <v>119</v>
      </c>
      <c r="Y635">
        <v>1800</v>
      </c>
      <c r="Z635" t="s">
        <v>5803</v>
      </c>
      <c r="AA635" t="s">
        <v>5815</v>
      </c>
      <c r="AC635" t="s">
        <v>6425</v>
      </c>
      <c r="AD635" t="s">
        <v>7289</v>
      </c>
      <c r="AE635" t="s">
        <v>7289</v>
      </c>
      <c r="AF635">
        <v>6</v>
      </c>
      <c r="AG635" t="s">
        <v>9272</v>
      </c>
      <c r="AH635" t="s">
        <v>4280</v>
      </c>
      <c r="AI635">
        <v>0</v>
      </c>
      <c r="AJ635">
        <v>2</v>
      </c>
      <c r="AK635">
        <v>2</v>
      </c>
      <c r="AL635">
        <v>77.67</v>
      </c>
      <c r="AM635" t="s">
        <v>9291</v>
      </c>
      <c r="AN635" t="s">
        <v>9295</v>
      </c>
      <c r="AO635" t="s">
        <v>1425</v>
      </c>
      <c r="AP635">
        <v>20000</v>
      </c>
      <c r="AV635">
        <v>1.95</v>
      </c>
      <c r="AW635" t="s">
        <v>73</v>
      </c>
    </row>
    <row r="636" spans="1:49">
      <c r="A636" s="1">
        <f>HYPERLINK("https://cms.ls-nyc.org/matter/dynamic-profile/view/1878750","18-1878750")</f>
        <v>0</v>
      </c>
      <c r="B636" t="s">
        <v>65</v>
      </c>
      <c r="C636" t="s">
        <v>82</v>
      </c>
      <c r="D636" t="s">
        <v>215</v>
      </c>
      <c r="E636" t="s">
        <v>215</v>
      </c>
      <c r="F636" t="s">
        <v>450</v>
      </c>
      <c r="G636" t="s">
        <v>1891</v>
      </c>
      <c r="H636" t="s">
        <v>3073</v>
      </c>
      <c r="I636" t="s">
        <v>4049</v>
      </c>
      <c r="J636" t="s">
        <v>4222</v>
      </c>
      <c r="K636">
        <v>11436</v>
      </c>
      <c r="L636" t="s">
        <v>4275</v>
      </c>
      <c r="M636" t="s">
        <v>4275</v>
      </c>
      <c r="O636" t="s">
        <v>4283</v>
      </c>
      <c r="P636" t="s">
        <v>4878</v>
      </c>
      <c r="Q636" t="s">
        <v>5732</v>
      </c>
      <c r="R636" t="s">
        <v>5753</v>
      </c>
      <c r="S636" t="s">
        <v>5759</v>
      </c>
      <c r="T636" t="s">
        <v>4276</v>
      </c>
      <c r="V636" t="s">
        <v>5767</v>
      </c>
      <c r="W636" t="s">
        <v>5772</v>
      </c>
      <c r="X636" t="s">
        <v>215</v>
      </c>
      <c r="Y636">
        <v>2400</v>
      </c>
      <c r="Z636" t="s">
        <v>5803</v>
      </c>
      <c r="AA636" t="s">
        <v>5804</v>
      </c>
      <c r="AB636" t="s">
        <v>5821</v>
      </c>
      <c r="AC636" t="s">
        <v>6426</v>
      </c>
      <c r="AD636" t="s">
        <v>7540</v>
      </c>
      <c r="AE636" t="s">
        <v>8421</v>
      </c>
      <c r="AF636">
        <v>1</v>
      </c>
      <c r="AG636" t="s">
        <v>9269</v>
      </c>
      <c r="AH636" t="s">
        <v>4280</v>
      </c>
      <c r="AI636">
        <v>3</v>
      </c>
      <c r="AJ636">
        <v>3</v>
      </c>
      <c r="AK636">
        <v>1</v>
      </c>
      <c r="AL636">
        <v>79.68000000000001</v>
      </c>
      <c r="AO636" t="s">
        <v>1425</v>
      </c>
      <c r="AP636">
        <v>20000</v>
      </c>
      <c r="AV636">
        <v>1.05</v>
      </c>
      <c r="AW636" t="s">
        <v>74</v>
      </c>
    </row>
    <row r="637" spans="1:49">
      <c r="A637" s="1">
        <f>HYPERLINK("https://cms.ls-nyc.org/matter/dynamic-profile/view/1890314","19-1890314")</f>
        <v>0</v>
      </c>
      <c r="B637" t="s">
        <v>65</v>
      </c>
      <c r="C637" t="s">
        <v>83</v>
      </c>
      <c r="D637" t="s">
        <v>127</v>
      </c>
      <c r="F637" t="s">
        <v>818</v>
      </c>
      <c r="G637" t="s">
        <v>1450</v>
      </c>
      <c r="H637" t="s">
        <v>3074</v>
      </c>
      <c r="J637" t="s">
        <v>4222</v>
      </c>
      <c r="K637">
        <v>11434</v>
      </c>
      <c r="L637" t="s">
        <v>4275</v>
      </c>
      <c r="M637" t="s">
        <v>4275</v>
      </c>
      <c r="O637" t="s">
        <v>4281</v>
      </c>
      <c r="P637" t="s">
        <v>4879</v>
      </c>
      <c r="Q637" t="s">
        <v>5732</v>
      </c>
      <c r="R637" t="s">
        <v>5751</v>
      </c>
      <c r="T637" t="s">
        <v>4276</v>
      </c>
      <c r="V637" t="s">
        <v>5767</v>
      </c>
      <c r="X637" t="s">
        <v>127</v>
      </c>
      <c r="Y637">
        <v>1600</v>
      </c>
      <c r="Z637" t="s">
        <v>5803</v>
      </c>
      <c r="AA637" t="s">
        <v>5805</v>
      </c>
      <c r="AC637" t="s">
        <v>6427</v>
      </c>
      <c r="AE637" t="s">
        <v>7289</v>
      </c>
      <c r="AF637">
        <v>0</v>
      </c>
      <c r="AG637" t="s">
        <v>9270</v>
      </c>
      <c r="AH637" t="s">
        <v>4280</v>
      </c>
      <c r="AI637">
        <v>5</v>
      </c>
      <c r="AJ637">
        <v>1</v>
      </c>
      <c r="AK637">
        <v>2</v>
      </c>
      <c r="AL637">
        <v>79.7</v>
      </c>
      <c r="AO637" t="s">
        <v>1425</v>
      </c>
      <c r="AP637">
        <v>17000</v>
      </c>
      <c r="AV637">
        <v>3.8</v>
      </c>
      <c r="AW637" t="s">
        <v>54</v>
      </c>
    </row>
    <row r="638" spans="1:49">
      <c r="A638" s="1">
        <f>HYPERLINK("https://cms.ls-nyc.org/matter/dynamic-profile/view/1892361","19-1892361")</f>
        <v>0</v>
      </c>
      <c r="B638" t="s">
        <v>65</v>
      </c>
      <c r="C638" t="s">
        <v>82</v>
      </c>
      <c r="D638" t="s">
        <v>241</v>
      </c>
      <c r="E638" t="s">
        <v>163</v>
      </c>
      <c r="F638" t="s">
        <v>741</v>
      </c>
      <c r="G638" t="s">
        <v>1892</v>
      </c>
      <c r="J638" t="s">
        <v>4234</v>
      </c>
      <c r="K638">
        <v>11103</v>
      </c>
      <c r="L638" t="s">
        <v>4275</v>
      </c>
      <c r="M638" t="s">
        <v>4275</v>
      </c>
      <c r="O638" t="s">
        <v>4283</v>
      </c>
      <c r="P638" t="s">
        <v>4700</v>
      </c>
      <c r="Q638" t="s">
        <v>4698</v>
      </c>
      <c r="R638" t="s">
        <v>5753</v>
      </c>
      <c r="S638" t="s">
        <v>5759</v>
      </c>
      <c r="T638" t="s">
        <v>4276</v>
      </c>
      <c r="V638" t="s">
        <v>5767</v>
      </c>
      <c r="X638" t="s">
        <v>163</v>
      </c>
      <c r="Y638">
        <v>0</v>
      </c>
      <c r="Z638" t="s">
        <v>5803</v>
      </c>
      <c r="AB638" t="s">
        <v>5821</v>
      </c>
      <c r="AC638" t="s">
        <v>6428</v>
      </c>
      <c r="AF638">
        <v>0</v>
      </c>
      <c r="AI638">
        <v>0</v>
      </c>
      <c r="AJ638">
        <v>3</v>
      </c>
      <c r="AK638">
        <v>0</v>
      </c>
      <c r="AL638">
        <v>79.7</v>
      </c>
      <c r="AP638">
        <v>17000</v>
      </c>
      <c r="AV638">
        <v>0.05</v>
      </c>
      <c r="AW638" t="s">
        <v>65</v>
      </c>
    </row>
    <row r="639" spans="1:49">
      <c r="A639" s="1">
        <f>HYPERLINK("https://cms.ls-nyc.org/matter/dynamic-profile/view/1886920","19-1886920")</f>
        <v>0</v>
      </c>
      <c r="B639" t="s">
        <v>65</v>
      </c>
      <c r="C639" t="s">
        <v>83</v>
      </c>
      <c r="D639" t="s">
        <v>193</v>
      </c>
      <c r="F639" t="s">
        <v>819</v>
      </c>
      <c r="G639" t="s">
        <v>1893</v>
      </c>
      <c r="H639" t="s">
        <v>2638</v>
      </c>
      <c r="I639" t="s">
        <v>4050</v>
      </c>
      <c r="J639" t="s">
        <v>4243</v>
      </c>
      <c r="K639">
        <v>11691</v>
      </c>
      <c r="L639" t="s">
        <v>4275</v>
      </c>
      <c r="M639" t="s">
        <v>4275</v>
      </c>
      <c r="O639" t="s">
        <v>4283</v>
      </c>
      <c r="P639" t="s">
        <v>4880</v>
      </c>
      <c r="Q639" t="s">
        <v>5731</v>
      </c>
      <c r="R639" t="s">
        <v>5751</v>
      </c>
      <c r="T639" t="s">
        <v>4276</v>
      </c>
      <c r="V639" t="s">
        <v>5767</v>
      </c>
      <c r="W639" t="s">
        <v>5772</v>
      </c>
      <c r="X639" t="s">
        <v>193</v>
      </c>
      <c r="Y639">
        <v>250</v>
      </c>
      <c r="Z639" t="s">
        <v>5803</v>
      </c>
      <c r="AA639" t="s">
        <v>5804</v>
      </c>
      <c r="AC639" t="s">
        <v>6429</v>
      </c>
      <c r="AD639" t="s">
        <v>7541</v>
      </c>
      <c r="AE639" t="s">
        <v>8422</v>
      </c>
      <c r="AF639">
        <v>120</v>
      </c>
      <c r="AG639" t="s">
        <v>9279</v>
      </c>
      <c r="AH639" t="s">
        <v>4280</v>
      </c>
      <c r="AI639">
        <v>18</v>
      </c>
      <c r="AJ639">
        <v>1</v>
      </c>
      <c r="AK639">
        <v>3</v>
      </c>
      <c r="AL639">
        <v>82.87</v>
      </c>
      <c r="AO639" t="s">
        <v>1425</v>
      </c>
      <c r="AP639">
        <v>20800</v>
      </c>
      <c r="AR639" t="s">
        <v>9327</v>
      </c>
      <c r="AS639" t="s">
        <v>9343</v>
      </c>
      <c r="AV639">
        <v>4.85</v>
      </c>
      <c r="AW639" t="s">
        <v>54</v>
      </c>
    </row>
    <row r="640" spans="1:49">
      <c r="A640" s="1">
        <f>HYPERLINK("https://cms.ls-nyc.org/matter/dynamic-profile/view/1889328","19-1889328")</f>
        <v>0</v>
      </c>
      <c r="B640" t="s">
        <v>65</v>
      </c>
      <c r="C640" t="s">
        <v>83</v>
      </c>
      <c r="D640" t="s">
        <v>119</v>
      </c>
      <c r="F640" t="s">
        <v>820</v>
      </c>
      <c r="G640" t="s">
        <v>1894</v>
      </c>
      <c r="H640" t="s">
        <v>3075</v>
      </c>
      <c r="I640" t="s">
        <v>4051</v>
      </c>
      <c r="J640" t="s">
        <v>4233</v>
      </c>
      <c r="K640">
        <v>11375</v>
      </c>
      <c r="L640" t="s">
        <v>4275</v>
      </c>
      <c r="M640" t="s">
        <v>4275</v>
      </c>
      <c r="O640" t="s">
        <v>4282</v>
      </c>
      <c r="P640" t="s">
        <v>4881</v>
      </c>
      <c r="Q640" t="s">
        <v>5731</v>
      </c>
      <c r="R640" t="s">
        <v>5753</v>
      </c>
      <c r="T640" t="s">
        <v>4276</v>
      </c>
      <c r="V640" t="s">
        <v>5767</v>
      </c>
      <c r="W640" t="s">
        <v>5772</v>
      </c>
      <c r="X640" t="s">
        <v>119</v>
      </c>
      <c r="Y640">
        <v>718</v>
      </c>
      <c r="Z640" t="s">
        <v>5803</v>
      </c>
      <c r="AA640" t="s">
        <v>5804</v>
      </c>
      <c r="AC640" t="s">
        <v>6430</v>
      </c>
      <c r="AD640" t="s">
        <v>7542</v>
      </c>
      <c r="AE640" t="s">
        <v>8423</v>
      </c>
      <c r="AF640">
        <v>0</v>
      </c>
      <c r="AG640" t="s">
        <v>9270</v>
      </c>
      <c r="AH640" t="s">
        <v>4280</v>
      </c>
      <c r="AI640">
        <v>30</v>
      </c>
      <c r="AJ640">
        <v>1</v>
      </c>
      <c r="AK640">
        <v>0</v>
      </c>
      <c r="AL640">
        <v>86.47</v>
      </c>
      <c r="AO640" t="s">
        <v>1425</v>
      </c>
      <c r="AP640">
        <v>10800</v>
      </c>
      <c r="AV640">
        <v>0.5</v>
      </c>
      <c r="AW640" t="s">
        <v>54</v>
      </c>
    </row>
    <row r="641" spans="1:49">
      <c r="A641" s="1">
        <f>HYPERLINK("https://cms.ls-nyc.org/matter/dynamic-profile/view/1886544","18-1886544")</f>
        <v>0</v>
      </c>
      <c r="B641" t="s">
        <v>65</v>
      </c>
      <c r="C641" t="s">
        <v>83</v>
      </c>
      <c r="D641" t="s">
        <v>189</v>
      </c>
      <c r="F641" t="s">
        <v>821</v>
      </c>
      <c r="G641" t="s">
        <v>1895</v>
      </c>
      <c r="H641" t="s">
        <v>3076</v>
      </c>
      <c r="I641" t="s">
        <v>3867</v>
      </c>
      <c r="J641" t="s">
        <v>4257</v>
      </c>
      <c r="K641">
        <v>11379</v>
      </c>
      <c r="L641" t="s">
        <v>4275</v>
      </c>
      <c r="M641" t="s">
        <v>4275</v>
      </c>
      <c r="O641" t="s">
        <v>4282</v>
      </c>
      <c r="P641" t="s">
        <v>4882</v>
      </c>
      <c r="Q641" t="s">
        <v>5732</v>
      </c>
      <c r="R641" t="s">
        <v>5754</v>
      </c>
      <c r="T641" t="s">
        <v>4276</v>
      </c>
      <c r="V641" t="s">
        <v>5767</v>
      </c>
      <c r="W641" t="s">
        <v>5772</v>
      </c>
      <c r="X641" t="s">
        <v>189</v>
      </c>
      <c r="Y641">
        <v>1550</v>
      </c>
      <c r="Z641" t="s">
        <v>5803</v>
      </c>
      <c r="AA641" t="s">
        <v>5804</v>
      </c>
      <c r="AC641" t="s">
        <v>6431</v>
      </c>
      <c r="AE641" t="s">
        <v>8424</v>
      </c>
      <c r="AF641">
        <v>0</v>
      </c>
      <c r="AG641" t="s">
        <v>9270</v>
      </c>
      <c r="AH641" t="s">
        <v>4280</v>
      </c>
      <c r="AI641">
        <v>15</v>
      </c>
      <c r="AJ641">
        <v>3</v>
      </c>
      <c r="AK641">
        <v>1</v>
      </c>
      <c r="AL641">
        <v>87.01000000000001</v>
      </c>
      <c r="AO641" t="s">
        <v>1425</v>
      </c>
      <c r="AP641">
        <v>21840</v>
      </c>
      <c r="AV641">
        <v>1.2</v>
      </c>
      <c r="AW641" t="s">
        <v>54</v>
      </c>
    </row>
    <row r="642" spans="1:49">
      <c r="A642" s="1">
        <f>HYPERLINK("https://cms.ls-nyc.org/matter/dynamic-profile/view/1888671","19-1888671")</f>
        <v>0</v>
      </c>
      <c r="B642" t="s">
        <v>65</v>
      </c>
      <c r="C642" t="s">
        <v>83</v>
      </c>
      <c r="D642" t="s">
        <v>245</v>
      </c>
      <c r="F642" t="s">
        <v>702</v>
      </c>
      <c r="G642" t="s">
        <v>1896</v>
      </c>
      <c r="H642" t="s">
        <v>3077</v>
      </c>
      <c r="I642" t="s">
        <v>4052</v>
      </c>
      <c r="J642" t="s">
        <v>4258</v>
      </c>
      <c r="K642">
        <v>11369</v>
      </c>
      <c r="L642" t="s">
        <v>4275</v>
      </c>
      <c r="M642" t="s">
        <v>4275</v>
      </c>
      <c r="O642" t="s">
        <v>4283</v>
      </c>
      <c r="P642" t="s">
        <v>4883</v>
      </c>
      <c r="Q642" t="s">
        <v>5731</v>
      </c>
      <c r="R642" t="s">
        <v>5751</v>
      </c>
      <c r="T642" t="s">
        <v>4276</v>
      </c>
      <c r="V642" t="s">
        <v>5767</v>
      </c>
      <c r="W642" t="s">
        <v>5772</v>
      </c>
      <c r="X642" t="s">
        <v>125</v>
      </c>
      <c r="Y642">
        <v>814.5700000000001</v>
      </c>
      <c r="Z642" t="s">
        <v>5803</v>
      </c>
      <c r="AA642" t="s">
        <v>5804</v>
      </c>
      <c r="AC642" t="s">
        <v>6432</v>
      </c>
      <c r="AE642" t="s">
        <v>8425</v>
      </c>
      <c r="AF642">
        <v>43</v>
      </c>
      <c r="AG642" t="s">
        <v>9272</v>
      </c>
      <c r="AH642" t="s">
        <v>4280</v>
      </c>
      <c r="AI642">
        <v>5</v>
      </c>
      <c r="AJ642">
        <v>1</v>
      </c>
      <c r="AK642">
        <v>2</v>
      </c>
      <c r="AL642">
        <v>90.01000000000001</v>
      </c>
      <c r="AO642" t="s">
        <v>1425</v>
      </c>
      <c r="AP642">
        <v>19200</v>
      </c>
      <c r="AV642">
        <v>3.95</v>
      </c>
      <c r="AW642" t="s">
        <v>74</v>
      </c>
    </row>
    <row r="643" spans="1:49">
      <c r="A643" s="1">
        <f>HYPERLINK("https://cms.ls-nyc.org/matter/dynamic-profile/view/1895822","19-1895822")</f>
        <v>0</v>
      </c>
      <c r="B643" t="s">
        <v>65</v>
      </c>
      <c r="C643" t="s">
        <v>83</v>
      </c>
      <c r="D643" t="s">
        <v>94</v>
      </c>
      <c r="F643" t="s">
        <v>822</v>
      </c>
      <c r="G643" t="s">
        <v>1897</v>
      </c>
      <c r="H643" t="s">
        <v>3050</v>
      </c>
      <c r="I643" t="s">
        <v>4053</v>
      </c>
      <c r="J643" t="s">
        <v>4243</v>
      </c>
      <c r="K643">
        <v>11691</v>
      </c>
      <c r="L643" t="s">
        <v>4275</v>
      </c>
      <c r="M643" t="s">
        <v>4275</v>
      </c>
      <c r="O643" t="s">
        <v>4283</v>
      </c>
      <c r="Q643" t="s">
        <v>5738</v>
      </c>
      <c r="R643" t="s">
        <v>5755</v>
      </c>
      <c r="T643" t="s">
        <v>4275</v>
      </c>
      <c r="V643" t="s">
        <v>5767</v>
      </c>
      <c r="X643" t="s">
        <v>94</v>
      </c>
      <c r="Y643">
        <v>675</v>
      </c>
      <c r="Z643" t="s">
        <v>5803</v>
      </c>
      <c r="AA643" t="s">
        <v>5804</v>
      </c>
      <c r="AC643" t="s">
        <v>6433</v>
      </c>
      <c r="AE643" t="s">
        <v>8426</v>
      </c>
      <c r="AF643">
        <v>43</v>
      </c>
      <c r="AI643">
        <v>8</v>
      </c>
      <c r="AJ643">
        <v>1</v>
      </c>
      <c r="AK643">
        <v>0</v>
      </c>
      <c r="AL643">
        <v>91.27</v>
      </c>
      <c r="AO643" t="s">
        <v>1425</v>
      </c>
      <c r="AP643">
        <v>11400</v>
      </c>
      <c r="AV643">
        <v>0</v>
      </c>
      <c r="AW643" t="s">
        <v>9547</v>
      </c>
    </row>
    <row r="644" spans="1:49">
      <c r="A644" s="1">
        <f>HYPERLINK("https://cms.ls-nyc.org/matter/dynamic-profile/view/1895829","19-1895829")</f>
        <v>0</v>
      </c>
      <c r="B644" t="s">
        <v>65</v>
      </c>
      <c r="C644" t="s">
        <v>83</v>
      </c>
      <c r="D644" t="s">
        <v>94</v>
      </c>
      <c r="F644" t="s">
        <v>822</v>
      </c>
      <c r="G644" t="s">
        <v>1897</v>
      </c>
      <c r="H644" t="s">
        <v>3050</v>
      </c>
      <c r="I644" t="s">
        <v>4053</v>
      </c>
      <c r="J644" t="s">
        <v>4243</v>
      </c>
      <c r="K644">
        <v>11691</v>
      </c>
      <c r="L644" t="s">
        <v>4275</v>
      </c>
      <c r="M644" t="s">
        <v>4275</v>
      </c>
      <c r="O644" t="s">
        <v>4283</v>
      </c>
      <c r="Q644" t="s">
        <v>5737</v>
      </c>
      <c r="R644" t="s">
        <v>5754</v>
      </c>
      <c r="T644" t="s">
        <v>4275</v>
      </c>
      <c r="V644" t="s">
        <v>5767</v>
      </c>
      <c r="X644" t="s">
        <v>94</v>
      </c>
      <c r="Y644">
        <v>675</v>
      </c>
      <c r="Z644" t="s">
        <v>5803</v>
      </c>
      <c r="AC644" t="s">
        <v>6433</v>
      </c>
      <c r="AE644" t="s">
        <v>8426</v>
      </c>
      <c r="AF644">
        <v>43</v>
      </c>
      <c r="AI644">
        <v>8</v>
      </c>
      <c r="AJ644">
        <v>1</v>
      </c>
      <c r="AK644">
        <v>0</v>
      </c>
      <c r="AL644">
        <v>91.27</v>
      </c>
      <c r="AO644" t="s">
        <v>1425</v>
      </c>
      <c r="AP644">
        <v>11400</v>
      </c>
      <c r="AV644">
        <v>0</v>
      </c>
      <c r="AW644" t="s">
        <v>9547</v>
      </c>
    </row>
    <row r="645" spans="1:49">
      <c r="A645" s="1">
        <f>HYPERLINK("https://cms.ls-nyc.org/matter/dynamic-profile/view/1880140","18-1880140")</f>
        <v>0</v>
      </c>
      <c r="B645" t="s">
        <v>65</v>
      </c>
      <c r="C645" t="s">
        <v>82</v>
      </c>
      <c r="D645" t="s">
        <v>184</v>
      </c>
      <c r="E645" t="s">
        <v>225</v>
      </c>
      <c r="F645" t="s">
        <v>823</v>
      </c>
      <c r="G645" t="s">
        <v>1898</v>
      </c>
      <c r="H645" t="s">
        <v>3078</v>
      </c>
      <c r="I645" t="s">
        <v>3871</v>
      </c>
      <c r="J645" t="s">
        <v>4243</v>
      </c>
      <c r="K645">
        <v>11691</v>
      </c>
      <c r="L645" t="s">
        <v>4275</v>
      </c>
      <c r="M645" t="s">
        <v>4275</v>
      </c>
      <c r="O645" t="s">
        <v>4283</v>
      </c>
      <c r="P645" t="s">
        <v>4884</v>
      </c>
      <c r="Q645" t="s">
        <v>5732</v>
      </c>
      <c r="R645" t="s">
        <v>5753</v>
      </c>
      <c r="S645" t="s">
        <v>5759</v>
      </c>
      <c r="T645" t="s">
        <v>4276</v>
      </c>
      <c r="V645" t="s">
        <v>5767</v>
      </c>
      <c r="W645" t="s">
        <v>5774</v>
      </c>
      <c r="X645" t="s">
        <v>184</v>
      </c>
      <c r="Y645">
        <v>1515</v>
      </c>
      <c r="Z645" t="s">
        <v>5803</v>
      </c>
      <c r="AA645" t="s">
        <v>5804</v>
      </c>
      <c r="AB645" t="s">
        <v>5821</v>
      </c>
      <c r="AC645" t="s">
        <v>6434</v>
      </c>
      <c r="AD645" t="s">
        <v>7543</v>
      </c>
      <c r="AE645" t="s">
        <v>8427</v>
      </c>
      <c r="AF645">
        <v>4</v>
      </c>
      <c r="AG645" t="s">
        <v>9269</v>
      </c>
      <c r="AH645" t="s">
        <v>9286</v>
      </c>
      <c r="AI645">
        <v>1</v>
      </c>
      <c r="AJ645">
        <v>1</v>
      </c>
      <c r="AK645">
        <v>2</v>
      </c>
      <c r="AL645">
        <v>91.43000000000001</v>
      </c>
      <c r="AO645" t="s">
        <v>1425</v>
      </c>
      <c r="AP645">
        <v>19000</v>
      </c>
      <c r="AV645">
        <v>0.4</v>
      </c>
      <c r="AW645" t="s">
        <v>54</v>
      </c>
    </row>
    <row r="646" spans="1:49">
      <c r="A646" s="1">
        <f>HYPERLINK("https://cms.ls-nyc.org/matter/dynamic-profile/view/1887131","19-1887131")</f>
        <v>0</v>
      </c>
      <c r="B646" t="s">
        <v>65</v>
      </c>
      <c r="C646" t="s">
        <v>83</v>
      </c>
      <c r="D646" t="s">
        <v>202</v>
      </c>
      <c r="F646" t="s">
        <v>824</v>
      </c>
      <c r="G646" t="s">
        <v>1899</v>
      </c>
      <c r="H646" t="s">
        <v>3079</v>
      </c>
      <c r="J646" t="s">
        <v>4241</v>
      </c>
      <c r="K646">
        <v>11368</v>
      </c>
      <c r="L646" t="s">
        <v>4275</v>
      </c>
      <c r="M646" t="s">
        <v>4275</v>
      </c>
      <c r="O646" t="s">
        <v>4284</v>
      </c>
      <c r="P646" t="s">
        <v>4885</v>
      </c>
      <c r="Q646" t="s">
        <v>5732</v>
      </c>
      <c r="R646" t="s">
        <v>5751</v>
      </c>
      <c r="T646" t="s">
        <v>4276</v>
      </c>
      <c r="V646" t="s">
        <v>5767</v>
      </c>
      <c r="W646" t="s">
        <v>5772</v>
      </c>
      <c r="X646" t="s">
        <v>249</v>
      </c>
      <c r="Y646">
        <v>0</v>
      </c>
      <c r="Z646" t="s">
        <v>5803</v>
      </c>
      <c r="AA646" t="s">
        <v>5815</v>
      </c>
      <c r="AC646" t="s">
        <v>6435</v>
      </c>
      <c r="AD646" t="s">
        <v>7289</v>
      </c>
      <c r="AE646" t="s">
        <v>7289</v>
      </c>
      <c r="AF646">
        <v>4</v>
      </c>
      <c r="AG646" t="s">
        <v>9269</v>
      </c>
      <c r="AH646" t="s">
        <v>4280</v>
      </c>
      <c r="AI646">
        <v>6</v>
      </c>
      <c r="AJ646">
        <v>1</v>
      </c>
      <c r="AK646">
        <v>2</v>
      </c>
      <c r="AL646">
        <v>91.43000000000001</v>
      </c>
      <c r="AM646" t="s">
        <v>9291</v>
      </c>
      <c r="AN646" t="s">
        <v>9295</v>
      </c>
      <c r="AO646" t="s">
        <v>1425</v>
      </c>
      <c r="AP646">
        <v>19000</v>
      </c>
      <c r="AR646" t="s">
        <v>9329</v>
      </c>
      <c r="AS646" t="s">
        <v>9352</v>
      </c>
      <c r="AT646" t="s">
        <v>9370</v>
      </c>
      <c r="AV646">
        <v>11.6</v>
      </c>
      <c r="AW646" t="s">
        <v>65</v>
      </c>
    </row>
    <row r="647" spans="1:49">
      <c r="A647" s="1">
        <f>HYPERLINK("https://cms.ls-nyc.org/matter/dynamic-profile/view/1877962","18-1877962")</f>
        <v>0</v>
      </c>
      <c r="B647" t="s">
        <v>65</v>
      </c>
      <c r="C647" t="s">
        <v>82</v>
      </c>
      <c r="D647" t="s">
        <v>126</v>
      </c>
      <c r="E647" t="s">
        <v>188</v>
      </c>
      <c r="F647" t="s">
        <v>825</v>
      </c>
      <c r="G647" t="s">
        <v>1900</v>
      </c>
      <c r="H647" t="s">
        <v>3080</v>
      </c>
      <c r="I647" t="s">
        <v>3886</v>
      </c>
      <c r="J647" t="s">
        <v>4251</v>
      </c>
      <c r="K647">
        <v>11377</v>
      </c>
      <c r="L647" t="s">
        <v>4275</v>
      </c>
      <c r="M647" t="s">
        <v>4275</v>
      </c>
      <c r="O647" t="s">
        <v>4283</v>
      </c>
      <c r="P647" t="s">
        <v>4886</v>
      </c>
      <c r="Q647" t="s">
        <v>5732</v>
      </c>
      <c r="R647" t="s">
        <v>5753</v>
      </c>
      <c r="S647" t="s">
        <v>5759</v>
      </c>
      <c r="T647" t="s">
        <v>4276</v>
      </c>
      <c r="V647" t="s">
        <v>5767</v>
      </c>
      <c r="W647" t="s">
        <v>5772</v>
      </c>
      <c r="X647" t="s">
        <v>126</v>
      </c>
      <c r="Y647">
        <v>860</v>
      </c>
      <c r="Z647" t="s">
        <v>5803</v>
      </c>
      <c r="AA647" t="s">
        <v>5804</v>
      </c>
      <c r="AB647" t="s">
        <v>5821</v>
      </c>
      <c r="AC647" t="s">
        <v>6436</v>
      </c>
      <c r="AE647" t="s">
        <v>8428</v>
      </c>
      <c r="AF647">
        <v>39</v>
      </c>
      <c r="AG647" t="s">
        <v>9272</v>
      </c>
      <c r="AH647" t="s">
        <v>4280</v>
      </c>
      <c r="AI647">
        <v>14</v>
      </c>
      <c r="AJ647">
        <v>2</v>
      </c>
      <c r="AK647">
        <v>1</v>
      </c>
      <c r="AL647">
        <v>96.25</v>
      </c>
      <c r="AO647" t="s">
        <v>1425</v>
      </c>
      <c r="AP647">
        <v>20000</v>
      </c>
      <c r="AV647">
        <v>1.1</v>
      </c>
      <c r="AW647" t="s">
        <v>73</v>
      </c>
    </row>
    <row r="648" spans="1:49">
      <c r="A648" s="1">
        <f>HYPERLINK("https://cms.ls-nyc.org/matter/dynamic-profile/view/1895933","19-1895933")</f>
        <v>0</v>
      </c>
      <c r="B648" t="s">
        <v>65</v>
      </c>
      <c r="C648" t="s">
        <v>83</v>
      </c>
      <c r="D648" t="s">
        <v>105</v>
      </c>
      <c r="F648" t="s">
        <v>750</v>
      </c>
      <c r="G648" t="s">
        <v>1229</v>
      </c>
      <c r="H648" t="s">
        <v>3081</v>
      </c>
      <c r="I648" t="s">
        <v>3934</v>
      </c>
      <c r="J648" t="s">
        <v>4227</v>
      </c>
      <c r="K648">
        <v>11365</v>
      </c>
      <c r="L648" t="s">
        <v>4275</v>
      </c>
      <c r="M648" t="s">
        <v>4275</v>
      </c>
      <c r="O648" t="s">
        <v>4283</v>
      </c>
      <c r="P648" t="s">
        <v>4887</v>
      </c>
      <c r="Q648" t="s">
        <v>5732</v>
      </c>
      <c r="R648" t="s">
        <v>5751</v>
      </c>
      <c r="T648" t="s">
        <v>4276</v>
      </c>
      <c r="V648" t="s">
        <v>5767</v>
      </c>
      <c r="X648" t="s">
        <v>105</v>
      </c>
      <c r="Y648">
        <v>1350</v>
      </c>
      <c r="Z648" t="s">
        <v>5803</v>
      </c>
      <c r="AA648" t="s">
        <v>5804</v>
      </c>
      <c r="AC648" t="s">
        <v>6437</v>
      </c>
      <c r="AE648" t="s">
        <v>8429</v>
      </c>
      <c r="AF648">
        <v>0</v>
      </c>
      <c r="AG648" t="s">
        <v>9270</v>
      </c>
      <c r="AH648" t="s">
        <v>4280</v>
      </c>
      <c r="AI648">
        <v>23</v>
      </c>
      <c r="AJ648">
        <v>3</v>
      </c>
      <c r="AK648">
        <v>0</v>
      </c>
      <c r="AL648">
        <v>98.45</v>
      </c>
      <c r="AO648" t="s">
        <v>1425</v>
      </c>
      <c r="AP648">
        <v>21000</v>
      </c>
      <c r="AV648">
        <v>7.15</v>
      </c>
      <c r="AW648" t="s">
        <v>54</v>
      </c>
    </row>
    <row r="649" spans="1:49">
      <c r="A649" s="1">
        <f>HYPERLINK("https://cms.ls-nyc.org/matter/dynamic-profile/view/1879523","18-1879523")</f>
        <v>0</v>
      </c>
      <c r="B649" t="s">
        <v>65</v>
      </c>
      <c r="C649" t="s">
        <v>82</v>
      </c>
      <c r="D649" t="s">
        <v>128</v>
      </c>
      <c r="E649" t="s">
        <v>229</v>
      </c>
      <c r="F649" t="s">
        <v>826</v>
      </c>
      <c r="G649" t="s">
        <v>1901</v>
      </c>
      <c r="H649" t="s">
        <v>3082</v>
      </c>
      <c r="I649" t="s">
        <v>3849</v>
      </c>
      <c r="J649" t="s">
        <v>4253</v>
      </c>
      <c r="K649">
        <v>11422</v>
      </c>
      <c r="L649" t="s">
        <v>4275</v>
      </c>
      <c r="M649" t="s">
        <v>4275</v>
      </c>
      <c r="O649" t="s">
        <v>4283</v>
      </c>
      <c r="P649" t="s">
        <v>4888</v>
      </c>
      <c r="Q649" t="s">
        <v>5732</v>
      </c>
      <c r="R649" t="s">
        <v>5753</v>
      </c>
      <c r="S649" t="s">
        <v>5759</v>
      </c>
      <c r="T649" t="s">
        <v>4276</v>
      </c>
      <c r="V649" t="s">
        <v>5767</v>
      </c>
      <c r="W649" t="s">
        <v>5772</v>
      </c>
      <c r="X649" t="s">
        <v>128</v>
      </c>
      <c r="Y649">
        <v>1150</v>
      </c>
      <c r="Z649" t="s">
        <v>5803</v>
      </c>
      <c r="AA649" t="s">
        <v>5804</v>
      </c>
      <c r="AB649" t="s">
        <v>5821</v>
      </c>
      <c r="AC649" t="s">
        <v>6438</v>
      </c>
      <c r="AD649" t="s">
        <v>7544</v>
      </c>
      <c r="AE649" t="s">
        <v>8430</v>
      </c>
      <c r="AF649">
        <v>2</v>
      </c>
      <c r="AG649" t="s">
        <v>9269</v>
      </c>
      <c r="AH649" t="s">
        <v>4280</v>
      </c>
      <c r="AI649">
        <v>8</v>
      </c>
      <c r="AJ649">
        <v>2</v>
      </c>
      <c r="AK649">
        <v>1</v>
      </c>
      <c r="AL649">
        <v>105.87</v>
      </c>
      <c r="AO649" t="s">
        <v>1425</v>
      </c>
      <c r="AP649">
        <v>22000</v>
      </c>
      <c r="AV649">
        <v>0.8</v>
      </c>
      <c r="AW649" t="s">
        <v>74</v>
      </c>
    </row>
    <row r="650" spans="1:49">
      <c r="A650" s="1">
        <f>HYPERLINK("https://cms.ls-nyc.org/matter/dynamic-profile/view/1877938","18-1877938")</f>
        <v>0</v>
      </c>
      <c r="B650" t="s">
        <v>65</v>
      </c>
      <c r="C650" t="s">
        <v>82</v>
      </c>
      <c r="D650" t="s">
        <v>126</v>
      </c>
      <c r="E650" t="s">
        <v>305</v>
      </c>
      <c r="F650" t="s">
        <v>519</v>
      </c>
      <c r="G650" t="s">
        <v>1902</v>
      </c>
      <c r="H650" t="s">
        <v>3083</v>
      </c>
      <c r="I650" t="s">
        <v>4054</v>
      </c>
      <c r="J650" t="s">
        <v>4234</v>
      </c>
      <c r="K650">
        <v>11103</v>
      </c>
      <c r="L650" t="s">
        <v>4275</v>
      </c>
      <c r="M650" t="s">
        <v>4275</v>
      </c>
      <c r="O650" t="s">
        <v>4283</v>
      </c>
      <c r="P650" t="s">
        <v>4889</v>
      </c>
      <c r="Q650" t="s">
        <v>5731</v>
      </c>
      <c r="R650" t="s">
        <v>5753</v>
      </c>
      <c r="S650" t="s">
        <v>5759</v>
      </c>
      <c r="T650" t="s">
        <v>4276</v>
      </c>
      <c r="V650" t="s">
        <v>5767</v>
      </c>
      <c r="W650" t="s">
        <v>5772</v>
      </c>
      <c r="X650" t="s">
        <v>126</v>
      </c>
      <c r="Y650">
        <v>1785</v>
      </c>
      <c r="Z650" t="s">
        <v>5803</v>
      </c>
      <c r="AA650" t="s">
        <v>5804</v>
      </c>
      <c r="AB650" t="s">
        <v>5821</v>
      </c>
      <c r="AC650" t="s">
        <v>6439</v>
      </c>
      <c r="AE650" t="s">
        <v>8431</v>
      </c>
      <c r="AF650">
        <v>60</v>
      </c>
      <c r="AG650" t="s">
        <v>9272</v>
      </c>
      <c r="AH650" t="s">
        <v>4280</v>
      </c>
      <c r="AI650">
        <v>6</v>
      </c>
      <c r="AJ650">
        <v>1</v>
      </c>
      <c r="AK650">
        <v>0</v>
      </c>
      <c r="AL650">
        <v>107.08</v>
      </c>
      <c r="AO650" t="s">
        <v>1425</v>
      </c>
      <c r="AP650">
        <v>13000</v>
      </c>
      <c r="AV650">
        <v>1.2</v>
      </c>
      <c r="AW650" t="s">
        <v>73</v>
      </c>
    </row>
    <row r="651" spans="1:49">
      <c r="A651" s="1">
        <f>HYPERLINK("https://cms.ls-nyc.org/matter/dynamic-profile/view/1882636","18-1882636")</f>
        <v>0</v>
      </c>
      <c r="B651" t="s">
        <v>65</v>
      </c>
      <c r="C651" t="s">
        <v>83</v>
      </c>
      <c r="D651" t="s">
        <v>111</v>
      </c>
      <c r="F651" t="s">
        <v>827</v>
      </c>
      <c r="G651" t="s">
        <v>1610</v>
      </c>
      <c r="H651" t="s">
        <v>3084</v>
      </c>
      <c r="I651" t="s">
        <v>3990</v>
      </c>
      <c r="J651" t="s">
        <v>4226</v>
      </c>
      <c r="K651">
        <v>11385</v>
      </c>
      <c r="L651" t="s">
        <v>4275</v>
      </c>
      <c r="M651" t="s">
        <v>4275</v>
      </c>
      <c r="O651" t="s">
        <v>4281</v>
      </c>
      <c r="P651" t="s">
        <v>4890</v>
      </c>
      <c r="Q651" t="s">
        <v>5731</v>
      </c>
      <c r="R651" t="s">
        <v>5751</v>
      </c>
      <c r="T651" t="s">
        <v>4276</v>
      </c>
      <c r="V651" t="s">
        <v>5767</v>
      </c>
      <c r="W651" t="s">
        <v>5772</v>
      </c>
      <c r="X651" t="s">
        <v>111</v>
      </c>
      <c r="Y651">
        <v>1841</v>
      </c>
      <c r="Z651" t="s">
        <v>5803</v>
      </c>
      <c r="AA651" t="s">
        <v>5804</v>
      </c>
      <c r="AC651" t="s">
        <v>6440</v>
      </c>
      <c r="AE651" t="s">
        <v>8432</v>
      </c>
      <c r="AF651">
        <v>24</v>
      </c>
      <c r="AG651" t="s">
        <v>9272</v>
      </c>
      <c r="AH651" t="s">
        <v>4280</v>
      </c>
      <c r="AI651">
        <v>2</v>
      </c>
      <c r="AJ651">
        <v>1</v>
      </c>
      <c r="AK651">
        <v>1</v>
      </c>
      <c r="AL651">
        <v>111.11</v>
      </c>
      <c r="AO651" t="s">
        <v>9298</v>
      </c>
      <c r="AP651">
        <v>18288</v>
      </c>
      <c r="AV651">
        <v>4.2</v>
      </c>
      <c r="AW651" t="s">
        <v>73</v>
      </c>
    </row>
    <row r="652" spans="1:49">
      <c r="A652" s="1">
        <f>HYPERLINK("https://cms.ls-nyc.org/matter/dynamic-profile/view/1897238","19-1897238")</f>
        <v>0</v>
      </c>
      <c r="B652" t="s">
        <v>65</v>
      </c>
      <c r="C652" t="s">
        <v>83</v>
      </c>
      <c r="D652" t="s">
        <v>106</v>
      </c>
      <c r="F652" t="s">
        <v>388</v>
      </c>
      <c r="G652" t="s">
        <v>1886</v>
      </c>
      <c r="H652" t="s">
        <v>3050</v>
      </c>
      <c r="I652" t="s">
        <v>4001</v>
      </c>
      <c r="J652" t="s">
        <v>4243</v>
      </c>
      <c r="K652">
        <v>11691</v>
      </c>
      <c r="L652" t="s">
        <v>4275</v>
      </c>
      <c r="M652" t="s">
        <v>4275</v>
      </c>
      <c r="O652" t="s">
        <v>4283</v>
      </c>
      <c r="Q652" t="s">
        <v>5737</v>
      </c>
      <c r="R652" t="s">
        <v>5754</v>
      </c>
      <c r="T652" t="s">
        <v>4275</v>
      </c>
      <c r="V652" t="s">
        <v>5767</v>
      </c>
      <c r="X652" t="s">
        <v>106</v>
      </c>
      <c r="Y652">
        <v>819</v>
      </c>
      <c r="Z652" t="s">
        <v>5803</v>
      </c>
      <c r="AA652" t="s">
        <v>5816</v>
      </c>
      <c r="AC652" t="s">
        <v>6421</v>
      </c>
      <c r="AE652" t="s">
        <v>8417</v>
      </c>
      <c r="AF652">
        <v>43</v>
      </c>
      <c r="AG652" t="s">
        <v>9272</v>
      </c>
      <c r="AH652" t="s">
        <v>4280</v>
      </c>
      <c r="AI652">
        <v>15</v>
      </c>
      <c r="AJ652">
        <v>2</v>
      </c>
      <c r="AK652">
        <v>3</v>
      </c>
      <c r="AL652">
        <v>112.03</v>
      </c>
      <c r="AO652" t="s">
        <v>9298</v>
      </c>
      <c r="AP652">
        <v>33800</v>
      </c>
      <c r="AV652">
        <v>0</v>
      </c>
      <c r="AW652" t="s">
        <v>54</v>
      </c>
    </row>
    <row r="653" spans="1:49">
      <c r="A653" s="1">
        <f>HYPERLINK("https://cms.ls-nyc.org/matter/dynamic-profile/view/1880026","18-1880026")</f>
        <v>0</v>
      </c>
      <c r="B653" t="s">
        <v>65</v>
      </c>
      <c r="C653" t="s">
        <v>83</v>
      </c>
      <c r="D653" t="s">
        <v>184</v>
      </c>
      <c r="F653" t="s">
        <v>828</v>
      </c>
      <c r="G653" t="s">
        <v>1903</v>
      </c>
      <c r="H653" t="s">
        <v>2913</v>
      </c>
      <c r="I653">
        <v>210</v>
      </c>
      <c r="J653" t="s">
        <v>4254</v>
      </c>
      <c r="K653">
        <v>11692</v>
      </c>
      <c r="L653" t="s">
        <v>4275</v>
      </c>
      <c r="M653" t="s">
        <v>4275</v>
      </c>
      <c r="O653" t="s">
        <v>4283</v>
      </c>
      <c r="P653" t="s">
        <v>4891</v>
      </c>
      <c r="Q653" t="s">
        <v>5731</v>
      </c>
      <c r="R653" t="s">
        <v>5751</v>
      </c>
      <c r="T653" t="s">
        <v>4276</v>
      </c>
      <c r="V653" t="s">
        <v>5767</v>
      </c>
      <c r="W653" t="s">
        <v>5772</v>
      </c>
      <c r="X653" t="s">
        <v>184</v>
      </c>
      <c r="Y653">
        <v>1324</v>
      </c>
      <c r="Z653" t="s">
        <v>5803</v>
      </c>
      <c r="AA653" t="s">
        <v>5804</v>
      </c>
      <c r="AC653" t="s">
        <v>6441</v>
      </c>
      <c r="AE653" t="s">
        <v>8433</v>
      </c>
      <c r="AF653">
        <v>216</v>
      </c>
      <c r="AG653" t="s">
        <v>9268</v>
      </c>
      <c r="AH653" t="s">
        <v>9282</v>
      </c>
      <c r="AI653">
        <v>27</v>
      </c>
      <c r="AJ653">
        <v>2</v>
      </c>
      <c r="AK653">
        <v>1</v>
      </c>
      <c r="AL653">
        <v>115.5</v>
      </c>
      <c r="AO653" t="s">
        <v>1425</v>
      </c>
      <c r="AP653">
        <v>24000</v>
      </c>
      <c r="AR653" t="s">
        <v>9333</v>
      </c>
      <c r="AS653" t="s">
        <v>9352</v>
      </c>
      <c r="AV653">
        <v>24.95</v>
      </c>
      <c r="AW653" t="s">
        <v>73</v>
      </c>
    </row>
    <row r="654" spans="1:49">
      <c r="A654" s="1">
        <f>HYPERLINK("https://cms.ls-nyc.org/matter/dynamic-profile/view/1895615","19-1895615")</f>
        <v>0</v>
      </c>
      <c r="B654" t="s">
        <v>65</v>
      </c>
      <c r="C654" t="s">
        <v>83</v>
      </c>
      <c r="D654" t="s">
        <v>206</v>
      </c>
      <c r="F654" t="s">
        <v>634</v>
      </c>
      <c r="G654" t="s">
        <v>1904</v>
      </c>
      <c r="H654" t="s">
        <v>3085</v>
      </c>
      <c r="I654" t="s">
        <v>3993</v>
      </c>
      <c r="J654" t="s">
        <v>4243</v>
      </c>
      <c r="K654">
        <v>11691</v>
      </c>
      <c r="L654" t="s">
        <v>4275</v>
      </c>
      <c r="M654" t="s">
        <v>4275</v>
      </c>
      <c r="O654" t="s">
        <v>4283</v>
      </c>
      <c r="P654" t="s">
        <v>4892</v>
      </c>
      <c r="Q654" t="s">
        <v>5732</v>
      </c>
      <c r="R654" t="s">
        <v>5751</v>
      </c>
      <c r="T654" t="s">
        <v>4276</v>
      </c>
      <c r="V654" t="s">
        <v>5767</v>
      </c>
      <c r="W654" t="s">
        <v>5772</v>
      </c>
      <c r="Y654">
        <v>1956</v>
      </c>
      <c r="Z654" t="s">
        <v>5803</v>
      </c>
      <c r="AA654" t="s">
        <v>5804</v>
      </c>
      <c r="AC654" t="s">
        <v>6442</v>
      </c>
      <c r="AD654" t="s">
        <v>7545</v>
      </c>
      <c r="AE654" t="s">
        <v>8434</v>
      </c>
      <c r="AF654">
        <v>2</v>
      </c>
      <c r="AG654" t="s">
        <v>9270</v>
      </c>
      <c r="AH654" t="s">
        <v>9286</v>
      </c>
      <c r="AI654">
        <v>1</v>
      </c>
      <c r="AJ654">
        <v>2</v>
      </c>
      <c r="AK654">
        <v>3</v>
      </c>
      <c r="AL654">
        <v>116.34</v>
      </c>
      <c r="AO654" t="s">
        <v>1425</v>
      </c>
      <c r="AP654">
        <v>35100</v>
      </c>
      <c r="AV654">
        <v>4.8</v>
      </c>
      <c r="AW654" t="s">
        <v>54</v>
      </c>
    </row>
    <row r="655" spans="1:49">
      <c r="A655" s="1">
        <f>HYPERLINK("https://cms.ls-nyc.org/matter/dynamic-profile/view/1880596","18-1880596")</f>
        <v>0</v>
      </c>
      <c r="B655" t="s">
        <v>65</v>
      </c>
      <c r="C655" t="s">
        <v>82</v>
      </c>
      <c r="D655" t="s">
        <v>227</v>
      </c>
      <c r="E655" t="s">
        <v>227</v>
      </c>
      <c r="F655" t="s">
        <v>609</v>
      </c>
      <c r="G655" t="s">
        <v>1905</v>
      </c>
      <c r="H655" t="s">
        <v>3086</v>
      </c>
      <c r="I655" t="s">
        <v>4055</v>
      </c>
      <c r="J655" t="s">
        <v>4233</v>
      </c>
      <c r="K655">
        <v>11375</v>
      </c>
      <c r="L655" t="s">
        <v>4275</v>
      </c>
      <c r="M655" t="s">
        <v>4275</v>
      </c>
      <c r="O655" t="s">
        <v>4283</v>
      </c>
      <c r="P655" t="s">
        <v>4893</v>
      </c>
      <c r="Q655" t="s">
        <v>5731</v>
      </c>
      <c r="R655" t="s">
        <v>5753</v>
      </c>
      <c r="S655" t="s">
        <v>5759</v>
      </c>
      <c r="T655" t="s">
        <v>4276</v>
      </c>
      <c r="V655" t="s">
        <v>5767</v>
      </c>
      <c r="W655" t="s">
        <v>5772</v>
      </c>
      <c r="X655" t="s">
        <v>227</v>
      </c>
      <c r="Y655">
        <v>2066</v>
      </c>
      <c r="Z655" t="s">
        <v>5803</v>
      </c>
      <c r="AA655" t="s">
        <v>5804</v>
      </c>
      <c r="AB655" t="s">
        <v>5821</v>
      </c>
      <c r="AC655" t="s">
        <v>6443</v>
      </c>
      <c r="AE655" t="s">
        <v>8435</v>
      </c>
      <c r="AF655">
        <v>425</v>
      </c>
      <c r="AG655" t="s">
        <v>9272</v>
      </c>
      <c r="AH655" t="s">
        <v>4280</v>
      </c>
      <c r="AI655">
        <v>25</v>
      </c>
      <c r="AJ655">
        <v>1</v>
      </c>
      <c r="AK655">
        <v>0</v>
      </c>
      <c r="AL655">
        <v>125.44</v>
      </c>
      <c r="AO655" t="s">
        <v>9316</v>
      </c>
      <c r="AP655">
        <v>15228</v>
      </c>
      <c r="AV655">
        <v>0.7</v>
      </c>
      <c r="AW655" t="s">
        <v>54</v>
      </c>
    </row>
    <row r="656" spans="1:49">
      <c r="A656" s="1">
        <f>HYPERLINK("https://cms.ls-nyc.org/matter/dynamic-profile/view/1878021","18-1878021")</f>
        <v>0</v>
      </c>
      <c r="B656" t="s">
        <v>65</v>
      </c>
      <c r="C656" t="s">
        <v>83</v>
      </c>
      <c r="D656" t="s">
        <v>126</v>
      </c>
      <c r="F656" t="s">
        <v>829</v>
      </c>
      <c r="G656" t="s">
        <v>582</v>
      </c>
      <c r="H656" t="s">
        <v>2656</v>
      </c>
      <c r="I656">
        <v>807</v>
      </c>
      <c r="J656" t="s">
        <v>4254</v>
      </c>
      <c r="K656">
        <v>11692</v>
      </c>
      <c r="L656" t="s">
        <v>4275</v>
      </c>
      <c r="M656" t="s">
        <v>4275</v>
      </c>
      <c r="O656" t="s">
        <v>4283</v>
      </c>
      <c r="P656" t="s">
        <v>4894</v>
      </c>
      <c r="Q656" t="s">
        <v>5731</v>
      </c>
      <c r="R656" t="s">
        <v>5751</v>
      </c>
      <c r="T656" t="s">
        <v>4276</v>
      </c>
      <c r="V656" t="s">
        <v>5767</v>
      </c>
      <c r="W656" t="s">
        <v>5771</v>
      </c>
      <c r="X656" t="s">
        <v>126</v>
      </c>
      <c r="Y656">
        <v>1650</v>
      </c>
      <c r="Z656" t="s">
        <v>5803</v>
      </c>
      <c r="AA656" t="s">
        <v>5804</v>
      </c>
      <c r="AC656" t="s">
        <v>6080</v>
      </c>
      <c r="AD656" t="s">
        <v>7546</v>
      </c>
      <c r="AE656" t="s">
        <v>8436</v>
      </c>
      <c r="AF656">
        <v>103</v>
      </c>
      <c r="AG656" t="s">
        <v>9272</v>
      </c>
      <c r="AH656" t="s">
        <v>9284</v>
      </c>
      <c r="AI656">
        <v>1</v>
      </c>
      <c r="AJ656">
        <v>1</v>
      </c>
      <c r="AK656">
        <v>3</v>
      </c>
      <c r="AL656">
        <v>127.49</v>
      </c>
      <c r="AO656" t="s">
        <v>1425</v>
      </c>
      <c r="AP656">
        <v>32000</v>
      </c>
      <c r="AR656" t="s">
        <v>9331</v>
      </c>
      <c r="AS656" t="s">
        <v>9357</v>
      </c>
      <c r="AT656" t="s">
        <v>9369</v>
      </c>
      <c r="AU656" t="s">
        <v>9477</v>
      </c>
      <c r="AV656">
        <v>6.65</v>
      </c>
      <c r="AW656" t="s">
        <v>54</v>
      </c>
    </row>
    <row r="657" spans="1:49">
      <c r="A657" s="1">
        <f>HYPERLINK("https://cms.ls-nyc.org/matter/dynamic-profile/view/1879795","18-1879795")</f>
        <v>0</v>
      </c>
      <c r="B657" t="s">
        <v>65</v>
      </c>
      <c r="C657" t="s">
        <v>83</v>
      </c>
      <c r="D657" t="s">
        <v>229</v>
      </c>
      <c r="F657" t="s">
        <v>830</v>
      </c>
      <c r="G657" t="s">
        <v>1906</v>
      </c>
      <c r="H657" t="s">
        <v>3087</v>
      </c>
      <c r="I657" t="s">
        <v>3880</v>
      </c>
      <c r="J657" t="s">
        <v>4240</v>
      </c>
      <c r="K657">
        <v>11373</v>
      </c>
      <c r="L657" t="s">
        <v>4275</v>
      </c>
      <c r="M657" t="s">
        <v>4275</v>
      </c>
      <c r="O657" t="s">
        <v>4282</v>
      </c>
      <c r="P657" t="s">
        <v>4808</v>
      </c>
      <c r="Q657" t="s">
        <v>4698</v>
      </c>
      <c r="R657" t="s">
        <v>5753</v>
      </c>
      <c r="T657" t="s">
        <v>4276</v>
      </c>
      <c r="V657" t="s">
        <v>5767</v>
      </c>
      <c r="X657" t="s">
        <v>229</v>
      </c>
      <c r="Y657">
        <v>998.64</v>
      </c>
      <c r="Z657" t="s">
        <v>5803</v>
      </c>
      <c r="AA657" t="s">
        <v>5810</v>
      </c>
      <c r="AC657" t="s">
        <v>6444</v>
      </c>
      <c r="AE657" t="s">
        <v>8437</v>
      </c>
      <c r="AF657">
        <v>108</v>
      </c>
      <c r="AG657" t="s">
        <v>9270</v>
      </c>
      <c r="AH657" t="s">
        <v>4280</v>
      </c>
      <c r="AI657">
        <v>35</v>
      </c>
      <c r="AJ657">
        <v>1</v>
      </c>
      <c r="AK657">
        <v>0</v>
      </c>
      <c r="AL657">
        <v>128.5</v>
      </c>
      <c r="AO657" t="s">
        <v>1425</v>
      </c>
      <c r="AP657">
        <v>15600</v>
      </c>
      <c r="AV657">
        <v>0.7</v>
      </c>
      <c r="AW657" t="s">
        <v>54</v>
      </c>
    </row>
    <row r="658" spans="1:49">
      <c r="A658" s="1">
        <f>HYPERLINK("https://cms.ls-nyc.org/matter/dynamic-profile/view/1895840","19-1895840")</f>
        <v>0</v>
      </c>
      <c r="B658" t="s">
        <v>65</v>
      </c>
      <c r="C658" t="s">
        <v>83</v>
      </c>
      <c r="D658" t="s">
        <v>94</v>
      </c>
      <c r="F658" t="s">
        <v>831</v>
      </c>
      <c r="G658" t="s">
        <v>469</v>
      </c>
      <c r="H658" t="s">
        <v>3050</v>
      </c>
      <c r="I658" t="s">
        <v>4056</v>
      </c>
      <c r="J658" t="s">
        <v>4243</v>
      </c>
      <c r="K658">
        <v>11691</v>
      </c>
      <c r="L658" t="s">
        <v>4275</v>
      </c>
      <c r="M658" t="s">
        <v>4275</v>
      </c>
      <c r="O658" t="s">
        <v>4283</v>
      </c>
      <c r="Q658" t="s">
        <v>5738</v>
      </c>
      <c r="R658" t="s">
        <v>5755</v>
      </c>
      <c r="T658" t="s">
        <v>4275</v>
      </c>
      <c r="V658" t="s">
        <v>5767</v>
      </c>
      <c r="X658" t="s">
        <v>94</v>
      </c>
      <c r="Y658">
        <v>637</v>
      </c>
      <c r="Z658" t="s">
        <v>5803</v>
      </c>
      <c r="AA658" t="s">
        <v>5804</v>
      </c>
      <c r="AC658" t="s">
        <v>6445</v>
      </c>
      <c r="AE658" t="s">
        <v>8438</v>
      </c>
      <c r="AF658">
        <v>43</v>
      </c>
      <c r="AI658">
        <v>30</v>
      </c>
      <c r="AJ658">
        <v>5</v>
      </c>
      <c r="AK658">
        <v>0</v>
      </c>
      <c r="AL658">
        <v>129.27</v>
      </c>
      <c r="AO658" t="s">
        <v>1425</v>
      </c>
      <c r="AP658">
        <v>39000</v>
      </c>
      <c r="AV658">
        <v>0</v>
      </c>
      <c r="AW658" t="s">
        <v>9547</v>
      </c>
    </row>
    <row r="659" spans="1:49">
      <c r="A659" s="1">
        <f>HYPERLINK("https://cms.ls-nyc.org/matter/dynamic-profile/view/1895844","19-1895844")</f>
        <v>0</v>
      </c>
      <c r="B659" t="s">
        <v>65</v>
      </c>
      <c r="C659" t="s">
        <v>83</v>
      </c>
      <c r="D659" t="s">
        <v>94</v>
      </c>
      <c r="F659" t="s">
        <v>831</v>
      </c>
      <c r="G659" t="s">
        <v>469</v>
      </c>
      <c r="H659" t="s">
        <v>3050</v>
      </c>
      <c r="I659" t="s">
        <v>4056</v>
      </c>
      <c r="J659" t="s">
        <v>4243</v>
      </c>
      <c r="K659">
        <v>11691</v>
      </c>
      <c r="L659" t="s">
        <v>4275</v>
      </c>
      <c r="M659" t="s">
        <v>4275</v>
      </c>
      <c r="O659" t="s">
        <v>4283</v>
      </c>
      <c r="Q659" t="s">
        <v>5737</v>
      </c>
      <c r="R659" t="s">
        <v>5754</v>
      </c>
      <c r="T659" t="s">
        <v>4275</v>
      </c>
      <c r="V659" t="s">
        <v>5767</v>
      </c>
      <c r="X659" t="s">
        <v>94</v>
      </c>
      <c r="Y659">
        <v>637</v>
      </c>
      <c r="Z659" t="s">
        <v>5803</v>
      </c>
      <c r="AC659" t="s">
        <v>6445</v>
      </c>
      <c r="AE659" t="s">
        <v>8438</v>
      </c>
      <c r="AF659">
        <v>43</v>
      </c>
      <c r="AI659">
        <v>30</v>
      </c>
      <c r="AJ659">
        <v>5</v>
      </c>
      <c r="AK659">
        <v>0</v>
      </c>
      <c r="AL659">
        <v>129.27</v>
      </c>
      <c r="AO659" t="s">
        <v>1425</v>
      </c>
      <c r="AP659">
        <v>39000</v>
      </c>
      <c r="AV659">
        <v>0</v>
      </c>
      <c r="AW659" t="s">
        <v>9547</v>
      </c>
    </row>
    <row r="660" spans="1:49">
      <c r="A660" s="1">
        <f>HYPERLINK("https://cms.ls-nyc.org/matter/dynamic-profile/view/1884355","18-1884355")</f>
        <v>0</v>
      </c>
      <c r="B660" t="s">
        <v>65</v>
      </c>
      <c r="C660" t="s">
        <v>83</v>
      </c>
      <c r="D660" t="s">
        <v>149</v>
      </c>
      <c r="F660" t="s">
        <v>760</v>
      </c>
      <c r="G660" t="s">
        <v>1907</v>
      </c>
      <c r="H660" t="s">
        <v>3088</v>
      </c>
      <c r="I660" t="s">
        <v>3884</v>
      </c>
      <c r="J660" t="s">
        <v>4255</v>
      </c>
      <c r="K660">
        <v>11372</v>
      </c>
      <c r="L660" t="s">
        <v>4275</v>
      </c>
      <c r="M660" t="s">
        <v>4275</v>
      </c>
      <c r="O660" t="s">
        <v>4283</v>
      </c>
      <c r="P660" t="s">
        <v>4895</v>
      </c>
      <c r="Q660" t="s">
        <v>5732</v>
      </c>
      <c r="R660" t="s">
        <v>5751</v>
      </c>
      <c r="T660" t="s">
        <v>4276</v>
      </c>
      <c r="V660" t="s">
        <v>5767</v>
      </c>
      <c r="W660" t="s">
        <v>5772</v>
      </c>
      <c r="X660" t="s">
        <v>5789</v>
      </c>
      <c r="Y660">
        <v>1150</v>
      </c>
      <c r="Z660" t="s">
        <v>5803</v>
      </c>
      <c r="AA660" t="s">
        <v>5804</v>
      </c>
      <c r="AC660" t="s">
        <v>6446</v>
      </c>
      <c r="AD660" t="s">
        <v>7547</v>
      </c>
      <c r="AE660" t="s">
        <v>8439</v>
      </c>
      <c r="AF660">
        <v>101</v>
      </c>
      <c r="AG660" t="s">
        <v>9272</v>
      </c>
      <c r="AH660" t="s">
        <v>4280</v>
      </c>
      <c r="AI660">
        <v>22</v>
      </c>
      <c r="AJ660">
        <v>3</v>
      </c>
      <c r="AK660">
        <v>0</v>
      </c>
      <c r="AL660">
        <v>130.9</v>
      </c>
      <c r="AO660" t="s">
        <v>9298</v>
      </c>
      <c r="AP660">
        <v>27200</v>
      </c>
      <c r="AR660" t="s">
        <v>9329</v>
      </c>
      <c r="AS660" t="s">
        <v>9358</v>
      </c>
      <c r="AT660" t="s">
        <v>9369</v>
      </c>
      <c r="AU660" t="s">
        <v>9474</v>
      </c>
      <c r="AV660">
        <v>13.85</v>
      </c>
      <c r="AW660" t="s">
        <v>54</v>
      </c>
    </row>
    <row r="661" spans="1:49">
      <c r="A661" s="1">
        <f>HYPERLINK("https://cms.ls-nyc.org/matter/dynamic-profile/view/1886962","19-1886962")</f>
        <v>0</v>
      </c>
      <c r="B661" t="s">
        <v>65</v>
      </c>
      <c r="C661" t="s">
        <v>83</v>
      </c>
      <c r="D661" t="s">
        <v>116</v>
      </c>
      <c r="F661" t="s">
        <v>832</v>
      </c>
      <c r="G661" t="s">
        <v>1908</v>
      </c>
      <c r="J661" t="s">
        <v>4251</v>
      </c>
      <c r="K661">
        <v>11377</v>
      </c>
      <c r="L661" t="s">
        <v>4275</v>
      </c>
      <c r="M661" t="s">
        <v>4275</v>
      </c>
      <c r="O661" t="s">
        <v>4282</v>
      </c>
      <c r="P661" t="s">
        <v>4896</v>
      </c>
      <c r="Q661" t="s">
        <v>5732</v>
      </c>
      <c r="R661" t="s">
        <v>5751</v>
      </c>
      <c r="T661" t="s">
        <v>4276</v>
      </c>
      <c r="V661" t="s">
        <v>5767</v>
      </c>
      <c r="W661" t="s">
        <v>5772</v>
      </c>
      <c r="X661" t="s">
        <v>116</v>
      </c>
      <c r="Y661">
        <v>1003</v>
      </c>
      <c r="Z661" t="s">
        <v>5803</v>
      </c>
      <c r="AA661" t="s">
        <v>5804</v>
      </c>
      <c r="AC661" t="s">
        <v>6447</v>
      </c>
      <c r="AE661" t="s">
        <v>8440</v>
      </c>
      <c r="AF661">
        <v>17</v>
      </c>
      <c r="AG661" t="s">
        <v>9272</v>
      </c>
      <c r="AI661">
        <v>10</v>
      </c>
      <c r="AJ661">
        <v>1</v>
      </c>
      <c r="AK661">
        <v>0</v>
      </c>
      <c r="AL661">
        <v>131.8</v>
      </c>
      <c r="AO661" t="s">
        <v>1425</v>
      </c>
      <c r="AP661">
        <v>16000</v>
      </c>
      <c r="AV661">
        <v>37.43</v>
      </c>
      <c r="AW661" t="s">
        <v>55</v>
      </c>
    </row>
    <row r="662" spans="1:49">
      <c r="A662" s="1">
        <f>HYPERLINK("https://cms.ls-nyc.org/matter/dynamic-profile/view/1897121","19-1897121")</f>
        <v>0</v>
      </c>
      <c r="B662" t="s">
        <v>65</v>
      </c>
      <c r="C662" t="s">
        <v>83</v>
      </c>
      <c r="D662" t="s">
        <v>110</v>
      </c>
      <c r="F662" t="s">
        <v>719</v>
      </c>
      <c r="G662" t="s">
        <v>1392</v>
      </c>
      <c r="H662" t="s">
        <v>3089</v>
      </c>
      <c r="I662">
        <v>1</v>
      </c>
      <c r="J662" t="s">
        <v>4243</v>
      </c>
      <c r="K662">
        <v>11691</v>
      </c>
      <c r="L662" t="s">
        <v>4275</v>
      </c>
      <c r="M662" t="s">
        <v>4275</v>
      </c>
      <c r="O662" t="s">
        <v>4283</v>
      </c>
      <c r="P662" t="s">
        <v>4897</v>
      </c>
      <c r="Q662" t="s">
        <v>5745</v>
      </c>
      <c r="R662" t="s">
        <v>5754</v>
      </c>
      <c r="T662" t="s">
        <v>4276</v>
      </c>
      <c r="V662" t="s">
        <v>5767</v>
      </c>
      <c r="X662" t="s">
        <v>110</v>
      </c>
      <c r="Y662">
        <v>1100</v>
      </c>
      <c r="Z662" t="s">
        <v>5803</v>
      </c>
      <c r="AA662" t="s">
        <v>5804</v>
      </c>
      <c r="AC662" t="s">
        <v>6448</v>
      </c>
      <c r="AD662" t="s">
        <v>7548</v>
      </c>
      <c r="AE662" t="s">
        <v>8441</v>
      </c>
      <c r="AF662">
        <v>3</v>
      </c>
      <c r="AG662" t="s">
        <v>9272</v>
      </c>
      <c r="AH662" t="s">
        <v>4280</v>
      </c>
      <c r="AI662">
        <v>1</v>
      </c>
      <c r="AJ662">
        <v>1</v>
      </c>
      <c r="AK662">
        <v>2</v>
      </c>
      <c r="AL662">
        <v>136.52</v>
      </c>
      <c r="AO662" t="s">
        <v>1425</v>
      </c>
      <c r="AP662">
        <v>29120.04</v>
      </c>
      <c r="AV662">
        <v>0</v>
      </c>
      <c r="AW662" t="s">
        <v>65</v>
      </c>
    </row>
    <row r="663" spans="1:49">
      <c r="A663" s="1">
        <f>HYPERLINK("https://cms.ls-nyc.org/matter/dynamic-profile/view/1877546","18-1877546")</f>
        <v>0</v>
      </c>
      <c r="B663" t="s">
        <v>65</v>
      </c>
      <c r="C663" t="s">
        <v>83</v>
      </c>
      <c r="D663" t="s">
        <v>180</v>
      </c>
      <c r="F663" t="s">
        <v>833</v>
      </c>
      <c r="G663" t="s">
        <v>1779</v>
      </c>
      <c r="H663" t="s">
        <v>3090</v>
      </c>
      <c r="I663" t="s">
        <v>3871</v>
      </c>
      <c r="J663" t="s">
        <v>4229</v>
      </c>
      <c r="K663">
        <v>11354</v>
      </c>
      <c r="L663" t="s">
        <v>4275</v>
      </c>
      <c r="M663" t="s">
        <v>4275</v>
      </c>
      <c r="O663" t="s">
        <v>4283</v>
      </c>
      <c r="P663" t="s">
        <v>4898</v>
      </c>
      <c r="Q663" t="s">
        <v>5731</v>
      </c>
      <c r="R663" t="s">
        <v>5751</v>
      </c>
      <c r="T663" t="s">
        <v>4276</v>
      </c>
      <c r="V663" t="s">
        <v>5767</v>
      </c>
      <c r="W663" t="s">
        <v>5772</v>
      </c>
      <c r="X663" t="s">
        <v>180</v>
      </c>
      <c r="Y663">
        <v>700</v>
      </c>
      <c r="Z663" t="s">
        <v>5803</v>
      </c>
      <c r="AA663" t="s">
        <v>5804</v>
      </c>
      <c r="AC663" t="s">
        <v>6449</v>
      </c>
      <c r="AE663" t="s">
        <v>8442</v>
      </c>
      <c r="AF663">
        <v>84</v>
      </c>
      <c r="AG663" t="s">
        <v>9272</v>
      </c>
      <c r="AH663" t="s">
        <v>4280</v>
      </c>
      <c r="AI663">
        <v>3</v>
      </c>
      <c r="AJ663">
        <v>2</v>
      </c>
      <c r="AK663">
        <v>0</v>
      </c>
      <c r="AL663">
        <v>139.73</v>
      </c>
      <c r="AO663" t="s">
        <v>1425</v>
      </c>
      <c r="AP663">
        <v>23000</v>
      </c>
      <c r="AR663" t="s">
        <v>9331</v>
      </c>
      <c r="AS663" t="s">
        <v>5806</v>
      </c>
      <c r="AT663" t="s">
        <v>9370</v>
      </c>
      <c r="AU663" t="s">
        <v>9477</v>
      </c>
      <c r="AV663">
        <v>6.95</v>
      </c>
      <c r="AW663" t="s">
        <v>73</v>
      </c>
    </row>
    <row r="664" spans="1:49">
      <c r="A664" s="1">
        <f>HYPERLINK("https://cms.ls-nyc.org/matter/dynamic-profile/view/1885990","18-1885990")</f>
        <v>0</v>
      </c>
      <c r="B664" t="s">
        <v>65</v>
      </c>
      <c r="C664" t="s">
        <v>83</v>
      </c>
      <c r="D664" t="s">
        <v>191</v>
      </c>
      <c r="F664" t="s">
        <v>719</v>
      </c>
      <c r="G664" t="s">
        <v>1392</v>
      </c>
      <c r="H664" t="s">
        <v>3089</v>
      </c>
      <c r="I664">
        <v>1</v>
      </c>
      <c r="J664" t="s">
        <v>4243</v>
      </c>
      <c r="K664">
        <v>11691</v>
      </c>
      <c r="L664" t="s">
        <v>4275</v>
      </c>
      <c r="M664" t="s">
        <v>4275</v>
      </c>
      <c r="O664" t="s">
        <v>4283</v>
      </c>
      <c r="P664" t="s">
        <v>4897</v>
      </c>
      <c r="Q664" t="s">
        <v>5731</v>
      </c>
      <c r="R664" t="s">
        <v>5751</v>
      </c>
      <c r="T664" t="s">
        <v>4276</v>
      </c>
      <c r="V664" t="s">
        <v>5767</v>
      </c>
      <c r="W664" t="s">
        <v>5772</v>
      </c>
      <c r="X664" t="s">
        <v>292</v>
      </c>
      <c r="Y664">
        <v>1100</v>
      </c>
      <c r="Z664" t="s">
        <v>5803</v>
      </c>
      <c r="AA664" t="s">
        <v>5804</v>
      </c>
      <c r="AC664" t="s">
        <v>6448</v>
      </c>
      <c r="AD664" t="s">
        <v>7548</v>
      </c>
      <c r="AE664" t="s">
        <v>8441</v>
      </c>
      <c r="AF664">
        <v>3</v>
      </c>
      <c r="AG664" t="s">
        <v>9272</v>
      </c>
      <c r="AH664" t="s">
        <v>4280</v>
      </c>
      <c r="AI664">
        <v>1</v>
      </c>
      <c r="AJ664">
        <v>1</v>
      </c>
      <c r="AK664">
        <v>2</v>
      </c>
      <c r="AL664">
        <v>140.13</v>
      </c>
      <c r="AO664" t="s">
        <v>1425</v>
      </c>
      <c r="AP664">
        <v>29120</v>
      </c>
      <c r="AR664" t="s">
        <v>9328</v>
      </c>
      <c r="AS664" t="s">
        <v>9352</v>
      </c>
      <c r="AV664">
        <v>8.970000000000001</v>
      </c>
      <c r="AW664" t="s">
        <v>54</v>
      </c>
    </row>
    <row r="665" spans="1:49">
      <c r="A665" s="1">
        <f>HYPERLINK("https://cms.ls-nyc.org/matter/dynamic-profile/view/1878587","18-1878587")</f>
        <v>0</v>
      </c>
      <c r="B665" t="s">
        <v>65</v>
      </c>
      <c r="C665" t="s">
        <v>82</v>
      </c>
      <c r="D665" t="s">
        <v>147</v>
      </c>
      <c r="E665" t="s">
        <v>243</v>
      </c>
      <c r="F665" t="s">
        <v>834</v>
      </c>
      <c r="G665" t="s">
        <v>1909</v>
      </c>
      <c r="H665" t="s">
        <v>3091</v>
      </c>
      <c r="I665" t="s">
        <v>3846</v>
      </c>
      <c r="J665" t="s">
        <v>4243</v>
      </c>
      <c r="K665">
        <v>11691</v>
      </c>
      <c r="L665" t="s">
        <v>4275</v>
      </c>
      <c r="M665" t="s">
        <v>4275</v>
      </c>
      <c r="O665" t="s">
        <v>4283</v>
      </c>
      <c r="P665" t="s">
        <v>4899</v>
      </c>
      <c r="Q665" t="s">
        <v>5731</v>
      </c>
      <c r="R665" t="s">
        <v>5753</v>
      </c>
      <c r="S665" t="s">
        <v>5759</v>
      </c>
      <c r="T665" t="s">
        <v>4276</v>
      </c>
      <c r="V665" t="s">
        <v>5767</v>
      </c>
      <c r="W665" t="s">
        <v>5772</v>
      </c>
      <c r="X665" t="s">
        <v>215</v>
      </c>
      <c r="Y665">
        <v>1174</v>
      </c>
      <c r="Z665" t="s">
        <v>5803</v>
      </c>
      <c r="AA665" t="s">
        <v>5804</v>
      </c>
      <c r="AB665" t="s">
        <v>5821</v>
      </c>
      <c r="AC665" t="s">
        <v>6450</v>
      </c>
      <c r="AE665" t="s">
        <v>8443</v>
      </c>
      <c r="AF665">
        <v>134</v>
      </c>
      <c r="AG665" t="s">
        <v>9272</v>
      </c>
      <c r="AH665" t="s">
        <v>4280</v>
      </c>
      <c r="AI665">
        <v>4</v>
      </c>
      <c r="AJ665">
        <v>1</v>
      </c>
      <c r="AK665">
        <v>1</v>
      </c>
      <c r="AL665">
        <v>140.41</v>
      </c>
      <c r="AO665" t="s">
        <v>1425</v>
      </c>
      <c r="AP665">
        <v>23112</v>
      </c>
      <c r="AV665">
        <v>1.05</v>
      </c>
      <c r="AW665" t="s">
        <v>54</v>
      </c>
    </row>
    <row r="666" spans="1:49">
      <c r="A666" s="1">
        <f>HYPERLINK("https://cms.ls-nyc.org/matter/dynamic-profile/view/1895966","19-1895966")</f>
        <v>0</v>
      </c>
      <c r="B666" t="s">
        <v>65</v>
      </c>
      <c r="C666" t="s">
        <v>83</v>
      </c>
      <c r="D666" t="s">
        <v>105</v>
      </c>
      <c r="F666" t="s">
        <v>640</v>
      </c>
      <c r="G666" t="s">
        <v>1910</v>
      </c>
      <c r="H666" t="s">
        <v>3050</v>
      </c>
      <c r="I666" t="s">
        <v>3883</v>
      </c>
      <c r="J666" t="s">
        <v>4243</v>
      </c>
      <c r="K666">
        <v>11691</v>
      </c>
      <c r="L666" t="s">
        <v>4275</v>
      </c>
      <c r="M666" t="s">
        <v>4275</v>
      </c>
      <c r="O666" t="s">
        <v>4283</v>
      </c>
      <c r="Q666" t="s">
        <v>5738</v>
      </c>
      <c r="R666" t="s">
        <v>5754</v>
      </c>
      <c r="T666" t="s">
        <v>4275</v>
      </c>
      <c r="V666" t="s">
        <v>5767</v>
      </c>
      <c r="X666" t="s">
        <v>105</v>
      </c>
      <c r="Y666">
        <v>675</v>
      </c>
      <c r="Z666" t="s">
        <v>5803</v>
      </c>
      <c r="AA666" t="s">
        <v>5816</v>
      </c>
      <c r="AC666" t="s">
        <v>6451</v>
      </c>
      <c r="AE666" t="s">
        <v>8444</v>
      </c>
      <c r="AF666">
        <v>43</v>
      </c>
      <c r="AG666" t="s">
        <v>9272</v>
      </c>
      <c r="AH666" t="s">
        <v>4280</v>
      </c>
      <c r="AI666">
        <v>5</v>
      </c>
      <c r="AJ666">
        <v>2</v>
      </c>
      <c r="AK666">
        <v>0</v>
      </c>
      <c r="AL666">
        <v>141.45</v>
      </c>
      <c r="AO666" t="s">
        <v>1425</v>
      </c>
      <c r="AP666">
        <v>23920</v>
      </c>
      <c r="AV666">
        <v>0</v>
      </c>
      <c r="AW666" t="s">
        <v>54</v>
      </c>
    </row>
    <row r="667" spans="1:49">
      <c r="A667" s="1">
        <f>HYPERLINK("https://cms.ls-nyc.org/matter/dynamic-profile/view/1896160","19-1896160")</f>
        <v>0</v>
      </c>
      <c r="B667" t="s">
        <v>65</v>
      </c>
      <c r="C667" t="s">
        <v>83</v>
      </c>
      <c r="D667" t="s">
        <v>132</v>
      </c>
      <c r="F667" t="s">
        <v>640</v>
      </c>
      <c r="G667" t="s">
        <v>1910</v>
      </c>
      <c r="H667" t="s">
        <v>3050</v>
      </c>
      <c r="I667" t="s">
        <v>4057</v>
      </c>
      <c r="J667" t="s">
        <v>4243</v>
      </c>
      <c r="K667">
        <v>11691</v>
      </c>
      <c r="L667" t="s">
        <v>4275</v>
      </c>
      <c r="M667" t="s">
        <v>4275</v>
      </c>
      <c r="O667" t="s">
        <v>4283</v>
      </c>
      <c r="Q667" t="s">
        <v>5738</v>
      </c>
      <c r="R667" t="s">
        <v>5755</v>
      </c>
      <c r="T667" t="s">
        <v>4275</v>
      </c>
      <c r="V667" t="s">
        <v>5767</v>
      </c>
      <c r="X667" t="s">
        <v>132</v>
      </c>
      <c r="Y667">
        <v>675</v>
      </c>
      <c r="Z667" t="s">
        <v>5803</v>
      </c>
      <c r="AA667" t="s">
        <v>5804</v>
      </c>
      <c r="AC667" t="s">
        <v>6451</v>
      </c>
      <c r="AE667" t="s">
        <v>8444</v>
      </c>
      <c r="AF667">
        <v>43</v>
      </c>
      <c r="AI667">
        <v>5</v>
      </c>
      <c r="AJ667">
        <v>2</v>
      </c>
      <c r="AK667">
        <v>0</v>
      </c>
      <c r="AL667">
        <v>141.45</v>
      </c>
      <c r="AO667" t="s">
        <v>1425</v>
      </c>
      <c r="AP667">
        <v>23920</v>
      </c>
      <c r="AV667">
        <v>0</v>
      </c>
      <c r="AW667" t="s">
        <v>9547</v>
      </c>
    </row>
    <row r="668" spans="1:49">
      <c r="A668" s="1">
        <f>HYPERLINK("https://cms.ls-nyc.org/matter/dynamic-profile/view/1896172","19-1896172")</f>
        <v>0</v>
      </c>
      <c r="B668" t="s">
        <v>65</v>
      </c>
      <c r="C668" t="s">
        <v>83</v>
      </c>
      <c r="D668" t="s">
        <v>132</v>
      </c>
      <c r="F668" t="s">
        <v>640</v>
      </c>
      <c r="G668" t="s">
        <v>1910</v>
      </c>
      <c r="H668" t="s">
        <v>3050</v>
      </c>
      <c r="I668" t="s">
        <v>4057</v>
      </c>
      <c r="J668" t="s">
        <v>4243</v>
      </c>
      <c r="K668">
        <v>11691</v>
      </c>
      <c r="L668" t="s">
        <v>4275</v>
      </c>
      <c r="M668" t="s">
        <v>4275</v>
      </c>
      <c r="O668" t="s">
        <v>4283</v>
      </c>
      <c r="Q668" t="s">
        <v>5737</v>
      </c>
      <c r="R668" t="s">
        <v>5754</v>
      </c>
      <c r="T668" t="s">
        <v>4275</v>
      </c>
      <c r="V668" t="s">
        <v>5767</v>
      </c>
      <c r="X668" t="s">
        <v>132</v>
      </c>
      <c r="Y668">
        <v>675</v>
      </c>
      <c r="Z668" t="s">
        <v>5803</v>
      </c>
      <c r="AC668" t="s">
        <v>6451</v>
      </c>
      <c r="AE668" t="s">
        <v>8444</v>
      </c>
      <c r="AF668">
        <v>43</v>
      </c>
      <c r="AI668">
        <v>5</v>
      </c>
      <c r="AJ668">
        <v>2</v>
      </c>
      <c r="AK668">
        <v>0</v>
      </c>
      <c r="AL668">
        <v>141.45</v>
      </c>
      <c r="AO668" t="s">
        <v>1425</v>
      </c>
      <c r="AP668">
        <v>23920</v>
      </c>
      <c r="AV668">
        <v>0</v>
      </c>
      <c r="AW668" t="s">
        <v>9547</v>
      </c>
    </row>
    <row r="669" spans="1:49">
      <c r="A669" s="1">
        <f>HYPERLINK("https://cms.ls-nyc.org/matter/dynamic-profile/view/1877570","18-1877570")</f>
        <v>0</v>
      </c>
      <c r="B669" t="s">
        <v>65</v>
      </c>
      <c r="C669" t="s">
        <v>82</v>
      </c>
      <c r="D669" t="s">
        <v>180</v>
      </c>
      <c r="E669" t="s">
        <v>215</v>
      </c>
      <c r="F669" t="s">
        <v>835</v>
      </c>
      <c r="G669" t="s">
        <v>1911</v>
      </c>
      <c r="H669" t="s">
        <v>3092</v>
      </c>
      <c r="I669" t="s">
        <v>4044</v>
      </c>
      <c r="J669" t="s">
        <v>4255</v>
      </c>
      <c r="K669">
        <v>11372</v>
      </c>
      <c r="L669" t="s">
        <v>4275</v>
      </c>
      <c r="M669" t="s">
        <v>4275</v>
      </c>
      <c r="O669" t="s">
        <v>4283</v>
      </c>
      <c r="P669" t="s">
        <v>4900</v>
      </c>
      <c r="Q669" t="s">
        <v>5732</v>
      </c>
      <c r="R669" t="s">
        <v>5753</v>
      </c>
      <c r="S669" t="s">
        <v>5759</v>
      </c>
      <c r="T669" t="s">
        <v>4276</v>
      </c>
      <c r="V669" t="s">
        <v>5767</v>
      </c>
      <c r="W669" t="s">
        <v>5772</v>
      </c>
      <c r="X669" t="s">
        <v>242</v>
      </c>
      <c r="Y669">
        <v>1050</v>
      </c>
      <c r="Z669" t="s">
        <v>5803</v>
      </c>
      <c r="AA669" t="s">
        <v>5804</v>
      </c>
      <c r="AB669" t="s">
        <v>5821</v>
      </c>
      <c r="AC669" t="s">
        <v>6452</v>
      </c>
      <c r="AE669" t="s">
        <v>8445</v>
      </c>
      <c r="AF669">
        <v>120</v>
      </c>
      <c r="AG669" t="s">
        <v>9275</v>
      </c>
      <c r="AH669" t="s">
        <v>4280</v>
      </c>
      <c r="AI669">
        <v>11</v>
      </c>
      <c r="AJ669">
        <v>1</v>
      </c>
      <c r="AK669">
        <v>0</v>
      </c>
      <c r="AL669">
        <v>143.62</v>
      </c>
      <c r="AO669" t="s">
        <v>1425</v>
      </c>
      <c r="AP669">
        <v>17436</v>
      </c>
      <c r="AV669">
        <v>1.1</v>
      </c>
      <c r="AW669" t="s">
        <v>73</v>
      </c>
    </row>
    <row r="670" spans="1:49">
      <c r="A670" s="1">
        <f>HYPERLINK("https://cms.ls-nyc.org/matter/dynamic-profile/view/1897232","19-1897232")</f>
        <v>0</v>
      </c>
      <c r="B670" t="s">
        <v>65</v>
      </c>
      <c r="C670" t="s">
        <v>83</v>
      </c>
      <c r="D670" t="s">
        <v>106</v>
      </c>
      <c r="F670" t="s">
        <v>376</v>
      </c>
      <c r="G670" t="s">
        <v>1462</v>
      </c>
      <c r="H670" t="s">
        <v>3050</v>
      </c>
      <c r="I670" t="s">
        <v>3942</v>
      </c>
      <c r="J670" t="s">
        <v>4243</v>
      </c>
      <c r="K670">
        <v>11691</v>
      </c>
      <c r="L670" t="s">
        <v>4275</v>
      </c>
      <c r="M670" t="s">
        <v>4275</v>
      </c>
      <c r="O670" t="s">
        <v>4283</v>
      </c>
      <c r="Q670" t="s">
        <v>5738</v>
      </c>
      <c r="R670" t="s">
        <v>5755</v>
      </c>
      <c r="T670" t="s">
        <v>4275</v>
      </c>
      <c r="V670" t="s">
        <v>5767</v>
      </c>
      <c r="X670" t="s">
        <v>106</v>
      </c>
      <c r="Y670">
        <v>660</v>
      </c>
      <c r="Z670" t="s">
        <v>5803</v>
      </c>
      <c r="AA670" t="s">
        <v>5816</v>
      </c>
      <c r="AC670" t="s">
        <v>6453</v>
      </c>
      <c r="AE670" t="s">
        <v>8446</v>
      </c>
      <c r="AF670">
        <v>43</v>
      </c>
      <c r="AG670" t="s">
        <v>9272</v>
      </c>
      <c r="AH670" t="s">
        <v>5806</v>
      </c>
      <c r="AI670">
        <v>40</v>
      </c>
      <c r="AJ670">
        <v>1</v>
      </c>
      <c r="AK670">
        <v>0</v>
      </c>
      <c r="AL670">
        <v>144.12</v>
      </c>
      <c r="AO670" t="s">
        <v>1425</v>
      </c>
      <c r="AP670">
        <v>18000</v>
      </c>
      <c r="AV670">
        <v>0</v>
      </c>
      <c r="AW670" t="s">
        <v>54</v>
      </c>
    </row>
    <row r="671" spans="1:49">
      <c r="A671" s="1">
        <f>HYPERLINK("https://cms.ls-nyc.org/matter/dynamic-profile/view/1897235","19-1897235")</f>
        <v>0</v>
      </c>
      <c r="B671" t="s">
        <v>65</v>
      </c>
      <c r="C671" t="s">
        <v>83</v>
      </c>
      <c r="D671" t="s">
        <v>106</v>
      </c>
      <c r="F671" t="s">
        <v>376</v>
      </c>
      <c r="G671" t="s">
        <v>1462</v>
      </c>
      <c r="H671" t="s">
        <v>3050</v>
      </c>
      <c r="I671" t="s">
        <v>3942</v>
      </c>
      <c r="J671" t="s">
        <v>4243</v>
      </c>
      <c r="K671">
        <v>11691</v>
      </c>
      <c r="L671" t="s">
        <v>4275</v>
      </c>
      <c r="M671" t="s">
        <v>4275</v>
      </c>
      <c r="O671" t="s">
        <v>4283</v>
      </c>
      <c r="Q671" t="s">
        <v>5737</v>
      </c>
      <c r="R671" t="s">
        <v>5754</v>
      </c>
      <c r="T671" t="s">
        <v>4276</v>
      </c>
      <c r="V671" t="s">
        <v>5767</v>
      </c>
      <c r="X671" t="s">
        <v>106</v>
      </c>
      <c r="Y671">
        <v>660</v>
      </c>
      <c r="Z671" t="s">
        <v>5803</v>
      </c>
      <c r="AA671" t="s">
        <v>5816</v>
      </c>
      <c r="AC671" t="s">
        <v>6453</v>
      </c>
      <c r="AE671" t="s">
        <v>8446</v>
      </c>
      <c r="AF671">
        <v>43</v>
      </c>
      <c r="AG671" t="s">
        <v>9272</v>
      </c>
      <c r="AH671" t="s">
        <v>4280</v>
      </c>
      <c r="AI671">
        <v>40</v>
      </c>
      <c r="AJ671">
        <v>1</v>
      </c>
      <c r="AK671">
        <v>0</v>
      </c>
      <c r="AL671">
        <v>144.12</v>
      </c>
      <c r="AO671" t="s">
        <v>1425</v>
      </c>
      <c r="AP671">
        <v>18000</v>
      </c>
      <c r="AV671">
        <v>0</v>
      </c>
      <c r="AW671" t="s">
        <v>54</v>
      </c>
    </row>
    <row r="672" spans="1:49">
      <c r="A672" s="1">
        <f>HYPERLINK("https://cms.ls-nyc.org/matter/dynamic-profile/view/1891966","19-1891966")</f>
        <v>0</v>
      </c>
      <c r="B672" t="s">
        <v>65</v>
      </c>
      <c r="C672" t="s">
        <v>83</v>
      </c>
      <c r="D672" t="s">
        <v>165</v>
      </c>
      <c r="F672" t="s">
        <v>836</v>
      </c>
      <c r="G672" t="s">
        <v>1912</v>
      </c>
      <c r="H672" t="s">
        <v>3093</v>
      </c>
      <c r="I672" t="s">
        <v>4058</v>
      </c>
      <c r="J672" t="s">
        <v>4243</v>
      </c>
      <c r="K672">
        <v>11691</v>
      </c>
      <c r="L672" t="s">
        <v>4275</v>
      </c>
      <c r="M672" t="s">
        <v>4275</v>
      </c>
      <c r="O672" t="s">
        <v>4283</v>
      </c>
      <c r="P672" t="s">
        <v>4901</v>
      </c>
      <c r="Q672" t="s">
        <v>5732</v>
      </c>
      <c r="R672" t="s">
        <v>5751</v>
      </c>
      <c r="T672" t="s">
        <v>4276</v>
      </c>
      <c r="V672" t="s">
        <v>5767</v>
      </c>
      <c r="W672" t="s">
        <v>5772</v>
      </c>
      <c r="X672" t="s">
        <v>101</v>
      </c>
      <c r="Y672">
        <v>1900</v>
      </c>
      <c r="Z672" t="s">
        <v>5803</v>
      </c>
      <c r="AA672" t="s">
        <v>5804</v>
      </c>
      <c r="AC672" t="s">
        <v>6320</v>
      </c>
      <c r="AE672" t="s">
        <v>8447</v>
      </c>
      <c r="AF672">
        <v>200</v>
      </c>
      <c r="AG672" t="s">
        <v>9270</v>
      </c>
      <c r="AH672" t="s">
        <v>4280</v>
      </c>
      <c r="AI672">
        <v>2</v>
      </c>
      <c r="AJ672">
        <v>1</v>
      </c>
      <c r="AK672">
        <v>1</v>
      </c>
      <c r="AL672">
        <v>147.84</v>
      </c>
      <c r="AO672" t="s">
        <v>1425</v>
      </c>
      <c r="AP672">
        <v>25000</v>
      </c>
      <c r="AR672" t="s">
        <v>9328</v>
      </c>
      <c r="AV672">
        <v>45.6</v>
      </c>
      <c r="AW672" t="s">
        <v>54</v>
      </c>
    </row>
    <row r="673" spans="1:49">
      <c r="A673" s="1">
        <f>HYPERLINK("https://cms.ls-nyc.org/matter/dynamic-profile/view/1895234","19-1895234")</f>
        <v>0</v>
      </c>
      <c r="B673" t="s">
        <v>65</v>
      </c>
      <c r="C673" t="s">
        <v>83</v>
      </c>
      <c r="D673" t="s">
        <v>218</v>
      </c>
      <c r="F673" t="s">
        <v>837</v>
      </c>
      <c r="G673" t="s">
        <v>1264</v>
      </c>
      <c r="H673" t="s">
        <v>3094</v>
      </c>
      <c r="J673" t="s">
        <v>4230</v>
      </c>
      <c r="K673">
        <v>11101</v>
      </c>
      <c r="L673" t="s">
        <v>4277</v>
      </c>
      <c r="M673" t="s">
        <v>4277</v>
      </c>
      <c r="O673" t="s">
        <v>4283</v>
      </c>
      <c r="P673" t="s">
        <v>4902</v>
      </c>
      <c r="Q673" t="s">
        <v>5731</v>
      </c>
      <c r="R673" t="s">
        <v>5751</v>
      </c>
      <c r="T673" t="s">
        <v>4276</v>
      </c>
      <c r="V673" t="s">
        <v>5767</v>
      </c>
      <c r="W673" t="s">
        <v>5771</v>
      </c>
      <c r="Y673">
        <v>2200</v>
      </c>
      <c r="Z673" t="s">
        <v>5803</v>
      </c>
      <c r="AC673" t="s">
        <v>6454</v>
      </c>
      <c r="AE673" t="s">
        <v>8448</v>
      </c>
      <c r="AF673">
        <v>24</v>
      </c>
      <c r="AI673">
        <v>2</v>
      </c>
      <c r="AJ673">
        <v>1</v>
      </c>
      <c r="AK673">
        <v>1</v>
      </c>
      <c r="AL673">
        <v>153.76</v>
      </c>
      <c r="AO673" t="s">
        <v>1425</v>
      </c>
      <c r="AP673">
        <v>26000</v>
      </c>
      <c r="AV673">
        <v>5.15</v>
      </c>
      <c r="AW673" t="s">
        <v>9547</v>
      </c>
    </row>
    <row r="674" spans="1:49">
      <c r="A674" s="1">
        <f>HYPERLINK("https://cms.ls-nyc.org/matter/dynamic-profile/view/1896402","19-1896402")</f>
        <v>0</v>
      </c>
      <c r="B674" t="s">
        <v>65</v>
      </c>
      <c r="C674" t="s">
        <v>83</v>
      </c>
      <c r="D674" t="s">
        <v>246</v>
      </c>
      <c r="F674" t="s">
        <v>838</v>
      </c>
      <c r="G674" t="s">
        <v>1853</v>
      </c>
      <c r="H674" t="s">
        <v>3050</v>
      </c>
      <c r="I674">
        <v>40</v>
      </c>
      <c r="J674" t="s">
        <v>4243</v>
      </c>
      <c r="K674">
        <v>11691</v>
      </c>
      <c r="L674" t="s">
        <v>4275</v>
      </c>
      <c r="M674" t="s">
        <v>4275</v>
      </c>
      <c r="O674" t="s">
        <v>4283</v>
      </c>
      <c r="Q674" t="s">
        <v>5738</v>
      </c>
      <c r="R674" t="s">
        <v>5755</v>
      </c>
      <c r="T674" t="s">
        <v>4275</v>
      </c>
      <c r="V674" t="s">
        <v>5767</v>
      </c>
      <c r="Y674">
        <v>660</v>
      </c>
      <c r="Z674" t="s">
        <v>5803</v>
      </c>
      <c r="AA674" t="s">
        <v>5804</v>
      </c>
      <c r="AC674" t="s">
        <v>6455</v>
      </c>
      <c r="AE674" t="s">
        <v>8449</v>
      </c>
      <c r="AF674">
        <v>43</v>
      </c>
      <c r="AI674">
        <v>40</v>
      </c>
      <c r="AJ674">
        <v>2</v>
      </c>
      <c r="AK674">
        <v>0</v>
      </c>
      <c r="AL674">
        <v>158.6</v>
      </c>
      <c r="AO674" t="s">
        <v>1425</v>
      </c>
      <c r="AP674">
        <v>26820</v>
      </c>
      <c r="AV674">
        <v>0</v>
      </c>
      <c r="AW674" t="s">
        <v>9547</v>
      </c>
    </row>
    <row r="675" spans="1:49">
      <c r="A675" s="1">
        <f>HYPERLINK("https://cms.ls-nyc.org/matter/dynamic-profile/view/1896408","19-1896408")</f>
        <v>0</v>
      </c>
      <c r="B675" t="s">
        <v>65</v>
      </c>
      <c r="C675" t="s">
        <v>83</v>
      </c>
      <c r="D675" t="s">
        <v>246</v>
      </c>
      <c r="F675" t="s">
        <v>838</v>
      </c>
      <c r="G675" t="s">
        <v>1853</v>
      </c>
      <c r="H675" t="s">
        <v>3050</v>
      </c>
      <c r="I675">
        <v>40</v>
      </c>
      <c r="J675" t="s">
        <v>4243</v>
      </c>
      <c r="K675">
        <v>11691</v>
      </c>
      <c r="L675" t="s">
        <v>4275</v>
      </c>
      <c r="M675" t="s">
        <v>4275</v>
      </c>
      <c r="O675" t="s">
        <v>4283</v>
      </c>
      <c r="Q675" t="s">
        <v>5738</v>
      </c>
      <c r="R675" t="s">
        <v>5754</v>
      </c>
      <c r="T675" t="s">
        <v>4275</v>
      </c>
      <c r="V675" t="s">
        <v>5767</v>
      </c>
      <c r="X675" t="s">
        <v>246</v>
      </c>
      <c r="Y675">
        <v>660</v>
      </c>
      <c r="Z675" t="s">
        <v>5803</v>
      </c>
      <c r="AA675" t="s">
        <v>5804</v>
      </c>
      <c r="AC675" t="s">
        <v>6455</v>
      </c>
      <c r="AE675" t="s">
        <v>8449</v>
      </c>
      <c r="AF675">
        <v>43</v>
      </c>
      <c r="AI675">
        <v>40</v>
      </c>
      <c r="AJ675">
        <v>2</v>
      </c>
      <c r="AK675">
        <v>0</v>
      </c>
      <c r="AL675">
        <v>158.6</v>
      </c>
      <c r="AO675" t="s">
        <v>1425</v>
      </c>
      <c r="AP675">
        <v>26820</v>
      </c>
      <c r="AV675">
        <v>0</v>
      </c>
      <c r="AW675" t="s">
        <v>9547</v>
      </c>
    </row>
    <row r="676" spans="1:49">
      <c r="A676" s="1">
        <f>HYPERLINK("https://cms.ls-nyc.org/matter/dynamic-profile/view/1895811","19-1895811")</f>
        <v>0</v>
      </c>
      <c r="B676" t="s">
        <v>65</v>
      </c>
      <c r="C676" t="s">
        <v>83</v>
      </c>
      <c r="D676" t="s">
        <v>94</v>
      </c>
      <c r="F676" t="s">
        <v>839</v>
      </c>
      <c r="G676" t="s">
        <v>1913</v>
      </c>
      <c r="H676" t="s">
        <v>3050</v>
      </c>
      <c r="I676" t="s">
        <v>4059</v>
      </c>
      <c r="J676" t="s">
        <v>4243</v>
      </c>
      <c r="K676">
        <v>11691</v>
      </c>
      <c r="L676" t="s">
        <v>4275</v>
      </c>
      <c r="M676" t="s">
        <v>4275</v>
      </c>
      <c r="O676" t="s">
        <v>4283</v>
      </c>
      <c r="Q676" t="s">
        <v>5738</v>
      </c>
      <c r="R676" t="s">
        <v>5755</v>
      </c>
      <c r="T676" t="s">
        <v>4275</v>
      </c>
      <c r="V676" t="s">
        <v>5767</v>
      </c>
      <c r="X676" t="s">
        <v>94</v>
      </c>
      <c r="Y676">
        <v>637</v>
      </c>
      <c r="Z676" t="s">
        <v>5803</v>
      </c>
      <c r="AA676" t="s">
        <v>5804</v>
      </c>
      <c r="AC676" t="s">
        <v>6456</v>
      </c>
      <c r="AE676" t="s">
        <v>8450</v>
      </c>
      <c r="AF676">
        <v>43</v>
      </c>
      <c r="AI676">
        <v>10</v>
      </c>
      <c r="AJ676">
        <v>1</v>
      </c>
      <c r="AK676">
        <v>0</v>
      </c>
      <c r="AL676">
        <v>163.33</v>
      </c>
      <c r="AO676" t="s">
        <v>1425</v>
      </c>
      <c r="AP676">
        <v>20400</v>
      </c>
      <c r="AV676">
        <v>0</v>
      </c>
      <c r="AW676" t="s">
        <v>9547</v>
      </c>
    </row>
    <row r="677" spans="1:49">
      <c r="A677" s="1">
        <f>HYPERLINK("https://cms.ls-nyc.org/matter/dynamic-profile/view/1895817","19-1895817")</f>
        <v>0</v>
      </c>
      <c r="B677" t="s">
        <v>65</v>
      </c>
      <c r="C677" t="s">
        <v>83</v>
      </c>
      <c r="D677" t="s">
        <v>94</v>
      </c>
      <c r="F677" t="s">
        <v>839</v>
      </c>
      <c r="G677" t="s">
        <v>1913</v>
      </c>
      <c r="H677" t="s">
        <v>3050</v>
      </c>
      <c r="I677" t="s">
        <v>4059</v>
      </c>
      <c r="J677" t="s">
        <v>4243</v>
      </c>
      <c r="K677">
        <v>11691</v>
      </c>
      <c r="L677" t="s">
        <v>4275</v>
      </c>
      <c r="M677" t="s">
        <v>4275</v>
      </c>
      <c r="O677" t="s">
        <v>4283</v>
      </c>
      <c r="Q677" t="s">
        <v>5737</v>
      </c>
      <c r="R677" t="s">
        <v>5754</v>
      </c>
      <c r="T677" t="s">
        <v>4275</v>
      </c>
      <c r="V677" t="s">
        <v>5767</v>
      </c>
      <c r="X677" t="s">
        <v>94</v>
      </c>
      <c r="Y677">
        <v>637</v>
      </c>
      <c r="Z677" t="s">
        <v>5803</v>
      </c>
      <c r="AC677" t="s">
        <v>6456</v>
      </c>
      <c r="AE677" t="s">
        <v>8450</v>
      </c>
      <c r="AF677">
        <v>43</v>
      </c>
      <c r="AI677">
        <v>10</v>
      </c>
      <c r="AJ677">
        <v>1</v>
      </c>
      <c r="AK677">
        <v>0</v>
      </c>
      <c r="AL677">
        <v>163.33</v>
      </c>
      <c r="AO677" t="s">
        <v>1425</v>
      </c>
      <c r="AP677">
        <v>20400</v>
      </c>
      <c r="AV677">
        <v>0</v>
      </c>
      <c r="AW677" t="s">
        <v>9547</v>
      </c>
    </row>
    <row r="678" spans="1:49">
      <c r="A678" s="1">
        <f>HYPERLINK("https://cms.ls-nyc.org/matter/dynamic-profile/view/1888574","19-1888574")</f>
        <v>0</v>
      </c>
      <c r="B678" t="s">
        <v>65</v>
      </c>
      <c r="C678" t="s">
        <v>83</v>
      </c>
      <c r="D678" t="s">
        <v>125</v>
      </c>
      <c r="F678" t="s">
        <v>531</v>
      </c>
      <c r="G678" t="s">
        <v>1552</v>
      </c>
      <c r="H678" t="s">
        <v>3095</v>
      </c>
      <c r="I678" t="s">
        <v>3858</v>
      </c>
      <c r="J678" t="s">
        <v>4225</v>
      </c>
      <c r="K678">
        <v>11385</v>
      </c>
      <c r="L678" t="s">
        <v>4275</v>
      </c>
      <c r="M678" t="s">
        <v>4275</v>
      </c>
      <c r="O678" t="s">
        <v>4281</v>
      </c>
      <c r="P678" t="s">
        <v>4903</v>
      </c>
      <c r="Q678" t="s">
        <v>5732</v>
      </c>
      <c r="R678" t="s">
        <v>5753</v>
      </c>
      <c r="T678" t="s">
        <v>4276</v>
      </c>
      <c r="V678" t="s">
        <v>5767</v>
      </c>
      <c r="W678" t="s">
        <v>5772</v>
      </c>
      <c r="X678" t="s">
        <v>125</v>
      </c>
      <c r="Y678">
        <v>979</v>
      </c>
      <c r="Z678" t="s">
        <v>5803</v>
      </c>
      <c r="AA678" t="s">
        <v>5804</v>
      </c>
      <c r="AC678" t="s">
        <v>6457</v>
      </c>
      <c r="AE678" t="s">
        <v>8451</v>
      </c>
      <c r="AF678">
        <v>6</v>
      </c>
      <c r="AG678" t="s">
        <v>9272</v>
      </c>
      <c r="AH678" t="s">
        <v>4280</v>
      </c>
      <c r="AI678">
        <v>30</v>
      </c>
      <c r="AJ678">
        <v>3</v>
      </c>
      <c r="AK678">
        <v>0</v>
      </c>
      <c r="AL678">
        <v>164.09</v>
      </c>
      <c r="AO678" t="s">
        <v>1425</v>
      </c>
      <c r="AP678">
        <v>35000</v>
      </c>
      <c r="AV678">
        <v>1.85</v>
      </c>
      <c r="AW678" t="s">
        <v>73</v>
      </c>
    </row>
    <row r="679" spans="1:49">
      <c r="A679" s="1">
        <f>HYPERLINK("https://cms.ls-nyc.org/matter/dynamic-profile/view/1885647","18-1885647")</f>
        <v>0</v>
      </c>
      <c r="B679" t="s">
        <v>65</v>
      </c>
      <c r="C679" t="s">
        <v>83</v>
      </c>
      <c r="D679" t="s">
        <v>187</v>
      </c>
      <c r="F679" t="s">
        <v>840</v>
      </c>
      <c r="G679" t="s">
        <v>1914</v>
      </c>
      <c r="H679" t="s">
        <v>3096</v>
      </c>
      <c r="J679" t="s">
        <v>4227</v>
      </c>
      <c r="K679">
        <v>11366</v>
      </c>
      <c r="L679" t="s">
        <v>4275</v>
      </c>
      <c r="M679" t="s">
        <v>4275</v>
      </c>
      <c r="O679" t="s">
        <v>4282</v>
      </c>
      <c r="P679" t="s">
        <v>4904</v>
      </c>
      <c r="Q679" t="s">
        <v>5732</v>
      </c>
      <c r="R679" t="s">
        <v>5753</v>
      </c>
      <c r="T679" t="s">
        <v>4276</v>
      </c>
      <c r="V679" t="s">
        <v>5767</v>
      </c>
      <c r="W679" t="s">
        <v>5773</v>
      </c>
      <c r="X679" t="s">
        <v>187</v>
      </c>
      <c r="Y679">
        <v>0</v>
      </c>
      <c r="Z679" t="s">
        <v>5803</v>
      </c>
      <c r="AA679" t="s">
        <v>5804</v>
      </c>
      <c r="AC679" t="s">
        <v>6458</v>
      </c>
      <c r="AE679" t="s">
        <v>8452</v>
      </c>
      <c r="AF679">
        <v>1</v>
      </c>
      <c r="AG679" t="s">
        <v>9269</v>
      </c>
      <c r="AH679" t="s">
        <v>4280</v>
      </c>
      <c r="AI679">
        <v>20</v>
      </c>
      <c r="AJ679">
        <v>1</v>
      </c>
      <c r="AK679">
        <v>0</v>
      </c>
      <c r="AL679">
        <v>164.74</v>
      </c>
      <c r="AO679" t="s">
        <v>1425</v>
      </c>
      <c r="AP679">
        <v>20000</v>
      </c>
      <c r="AV679">
        <v>0</v>
      </c>
      <c r="AW679" t="s">
        <v>65</v>
      </c>
    </row>
    <row r="680" spans="1:49">
      <c r="A680" s="1">
        <f>HYPERLINK("https://cms.ls-nyc.org/matter/dynamic-profile/view/1895803","19-1895803")</f>
        <v>0</v>
      </c>
      <c r="B680" t="s">
        <v>65</v>
      </c>
      <c r="C680" t="s">
        <v>83</v>
      </c>
      <c r="D680" t="s">
        <v>94</v>
      </c>
      <c r="F680" t="s">
        <v>841</v>
      </c>
      <c r="G680" t="s">
        <v>1546</v>
      </c>
      <c r="H680" t="s">
        <v>3097</v>
      </c>
      <c r="J680" t="s">
        <v>4243</v>
      </c>
      <c r="K680">
        <v>11691</v>
      </c>
      <c r="L680" t="s">
        <v>4275</v>
      </c>
      <c r="M680" t="s">
        <v>4275</v>
      </c>
      <c r="O680" t="s">
        <v>4283</v>
      </c>
      <c r="Q680" t="s">
        <v>5737</v>
      </c>
      <c r="R680" t="s">
        <v>5755</v>
      </c>
      <c r="T680" t="s">
        <v>4275</v>
      </c>
      <c r="V680" t="s">
        <v>5767</v>
      </c>
      <c r="X680" t="s">
        <v>94</v>
      </c>
      <c r="Y680">
        <v>475</v>
      </c>
      <c r="Z680" t="s">
        <v>5803</v>
      </c>
      <c r="AC680" t="s">
        <v>6459</v>
      </c>
      <c r="AE680" t="s">
        <v>8453</v>
      </c>
      <c r="AF680">
        <v>43</v>
      </c>
      <c r="AI680">
        <v>4</v>
      </c>
      <c r="AJ680">
        <v>2</v>
      </c>
      <c r="AK680">
        <v>0</v>
      </c>
      <c r="AL680">
        <v>166.77</v>
      </c>
      <c r="AO680" t="s">
        <v>1425</v>
      </c>
      <c r="AP680">
        <v>28200</v>
      </c>
      <c r="AV680">
        <v>0</v>
      </c>
      <c r="AW680" t="s">
        <v>9547</v>
      </c>
    </row>
    <row r="681" spans="1:49">
      <c r="A681" s="1">
        <f>HYPERLINK("https://cms.ls-nyc.org/matter/dynamic-profile/view/1895808","19-1895808")</f>
        <v>0</v>
      </c>
      <c r="B681" t="s">
        <v>65</v>
      </c>
      <c r="C681" t="s">
        <v>83</v>
      </c>
      <c r="D681" t="s">
        <v>94</v>
      </c>
      <c r="F681" t="s">
        <v>841</v>
      </c>
      <c r="G681" t="s">
        <v>1546</v>
      </c>
      <c r="H681" t="s">
        <v>3097</v>
      </c>
      <c r="I681">
        <v>4</v>
      </c>
      <c r="J681" t="s">
        <v>4243</v>
      </c>
      <c r="K681">
        <v>11691</v>
      </c>
      <c r="L681" t="s">
        <v>4275</v>
      </c>
      <c r="M681" t="s">
        <v>4275</v>
      </c>
      <c r="O681" t="s">
        <v>4283</v>
      </c>
      <c r="Q681" t="s">
        <v>5737</v>
      </c>
      <c r="R681" t="s">
        <v>5754</v>
      </c>
      <c r="T681" t="s">
        <v>4275</v>
      </c>
      <c r="V681" t="s">
        <v>5767</v>
      </c>
      <c r="X681" t="s">
        <v>94</v>
      </c>
      <c r="Y681">
        <v>475</v>
      </c>
      <c r="Z681" t="s">
        <v>5803</v>
      </c>
      <c r="AA681" t="s">
        <v>5816</v>
      </c>
      <c r="AC681" t="s">
        <v>6459</v>
      </c>
      <c r="AE681" t="s">
        <v>8453</v>
      </c>
      <c r="AF681">
        <v>43</v>
      </c>
      <c r="AI681">
        <v>4</v>
      </c>
      <c r="AJ681">
        <v>2</v>
      </c>
      <c r="AK681">
        <v>0</v>
      </c>
      <c r="AL681">
        <v>166.77</v>
      </c>
      <c r="AO681" t="s">
        <v>1425</v>
      </c>
      <c r="AP681">
        <v>28200</v>
      </c>
      <c r="AV681">
        <v>0</v>
      </c>
      <c r="AW681" t="s">
        <v>9547</v>
      </c>
    </row>
    <row r="682" spans="1:49">
      <c r="A682" s="1">
        <f>HYPERLINK("https://cms.ls-nyc.org/matter/dynamic-profile/view/1881708","18-1881708")</f>
        <v>0</v>
      </c>
      <c r="B682" t="s">
        <v>65</v>
      </c>
      <c r="C682" t="s">
        <v>83</v>
      </c>
      <c r="D682" t="s">
        <v>247</v>
      </c>
      <c r="F682" t="s">
        <v>842</v>
      </c>
      <c r="G682" t="s">
        <v>1559</v>
      </c>
      <c r="H682" t="s">
        <v>3098</v>
      </c>
      <c r="I682" t="s">
        <v>3888</v>
      </c>
      <c r="J682" t="s">
        <v>4232</v>
      </c>
      <c r="K682">
        <v>11104</v>
      </c>
      <c r="L682" t="s">
        <v>4275</v>
      </c>
      <c r="M682" t="s">
        <v>4275</v>
      </c>
      <c r="O682" t="s">
        <v>4283</v>
      </c>
      <c r="P682" t="s">
        <v>4416</v>
      </c>
      <c r="Q682" t="s">
        <v>5732</v>
      </c>
      <c r="R682" t="s">
        <v>5751</v>
      </c>
      <c r="T682" t="s">
        <v>4276</v>
      </c>
      <c r="V682" t="s">
        <v>5767</v>
      </c>
      <c r="W682" t="s">
        <v>5772</v>
      </c>
      <c r="X682" t="s">
        <v>130</v>
      </c>
      <c r="Y682">
        <v>1142</v>
      </c>
      <c r="Z682" t="s">
        <v>5803</v>
      </c>
      <c r="AA682" t="s">
        <v>5804</v>
      </c>
      <c r="AC682" t="s">
        <v>6460</v>
      </c>
      <c r="AE682" t="s">
        <v>8454</v>
      </c>
      <c r="AF682">
        <v>54</v>
      </c>
      <c r="AG682" t="s">
        <v>9272</v>
      </c>
      <c r="AH682" t="s">
        <v>4280</v>
      </c>
      <c r="AI682">
        <v>36</v>
      </c>
      <c r="AJ682">
        <v>1</v>
      </c>
      <c r="AK682">
        <v>0</v>
      </c>
      <c r="AL682">
        <v>168.86</v>
      </c>
      <c r="AO682" t="s">
        <v>1425</v>
      </c>
      <c r="AP682">
        <v>20500</v>
      </c>
      <c r="AR682" t="s">
        <v>9328</v>
      </c>
      <c r="AS682" t="s">
        <v>9359</v>
      </c>
      <c r="AV682">
        <v>15.7</v>
      </c>
      <c r="AW682" t="s">
        <v>74</v>
      </c>
    </row>
    <row r="683" spans="1:49">
      <c r="A683" s="1">
        <f>HYPERLINK("https://cms.ls-nyc.org/matter/dynamic-profile/view/1895258","19-1895258")</f>
        <v>0</v>
      </c>
      <c r="B683" t="s">
        <v>65</v>
      </c>
      <c r="C683" t="s">
        <v>83</v>
      </c>
      <c r="D683" t="s">
        <v>238</v>
      </c>
      <c r="F683" t="s">
        <v>843</v>
      </c>
      <c r="G683" t="s">
        <v>1915</v>
      </c>
      <c r="H683" t="s">
        <v>3099</v>
      </c>
      <c r="I683" t="s">
        <v>4060</v>
      </c>
      <c r="J683" t="s">
        <v>4243</v>
      </c>
      <c r="K683">
        <v>11691</v>
      </c>
      <c r="L683" t="s">
        <v>4275</v>
      </c>
      <c r="M683" t="s">
        <v>4275</v>
      </c>
      <c r="O683" t="s">
        <v>4283</v>
      </c>
      <c r="Q683" t="s">
        <v>4698</v>
      </c>
      <c r="R683" t="s">
        <v>5754</v>
      </c>
      <c r="T683" t="s">
        <v>4276</v>
      </c>
      <c r="V683" t="s">
        <v>5767</v>
      </c>
      <c r="X683" t="s">
        <v>218</v>
      </c>
      <c r="Y683">
        <v>1350</v>
      </c>
      <c r="Z683" t="s">
        <v>5803</v>
      </c>
      <c r="AC683" t="s">
        <v>6461</v>
      </c>
      <c r="AE683" t="s">
        <v>8455</v>
      </c>
      <c r="AF683">
        <v>917</v>
      </c>
      <c r="AG683" t="s">
        <v>9272</v>
      </c>
      <c r="AI683">
        <v>3</v>
      </c>
      <c r="AJ683">
        <v>1</v>
      </c>
      <c r="AK683">
        <v>0</v>
      </c>
      <c r="AL683">
        <v>172.94</v>
      </c>
      <c r="AO683" t="s">
        <v>1425</v>
      </c>
      <c r="AP683">
        <v>21600</v>
      </c>
      <c r="AV683">
        <v>0.5</v>
      </c>
      <c r="AW683" t="s">
        <v>65</v>
      </c>
    </row>
    <row r="684" spans="1:49">
      <c r="A684" s="1">
        <f>HYPERLINK("https://cms.ls-nyc.org/matter/dynamic-profile/view/1897656","19-1897656")</f>
        <v>0</v>
      </c>
      <c r="B684" t="s">
        <v>65</v>
      </c>
      <c r="C684" t="s">
        <v>83</v>
      </c>
      <c r="D684" t="s">
        <v>107</v>
      </c>
      <c r="F684" t="s">
        <v>474</v>
      </c>
      <c r="G684" t="s">
        <v>1450</v>
      </c>
      <c r="H684" t="s">
        <v>2656</v>
      </c>
      <c r="I684">
        <v>919</v>
      </c>
      <c r="J684" t="s">
        <v>4254</v>
      </c>
      <c r="K684">
        <v>11692</v>
      </c>
      <c r="L684" t="s">
        <v>4275</v>
      </c>
      <c r="M684" t="s">
        <v>4275</v>
      </c>
      <c r="O684" t="s">
        <v>4283</v>
      </c>
      <c r="P684" t="s">
        <v>4455</v>
      </c>
      <c r="Q684" t="s">
        <v>5731</v>
      </c>
      <c r="R684" t="s">
        <v>5751</v>
      </c>
      <c r="T684" t="s">
        <v>4276</v>
      </c>
      <c r="V684" t="s">
        <v>5767</v>
      </c>
      <c r="X684" t="s">
        <v>107</v>
      </c>
      <c r="Y684">
        <v>1885</v>
      </c>
      <c r="Z684" t="s">
        <v>5803</v>
      </c>
      <c r="AA684" t="s">
        <v>5804</v>
      </c>
      <c r="AC684" t="s">
        <v>5999</v>
      </c>
      <c r="AE684" t="s">
        <v>8007</v>
      </c>
      <c r="AF684">
        <v>0</v>
      </c>
      <c r="AH684" t="s">
        <v>4280</v>
      </c>
      <c r="AI684">
        <v>4</v>
      </c>
      <c r="AJ684">
        <v>2</v>
      </c>
      <c r="AK684">
        <v>2</v>
      </c>
      <c r="AL684">
        <v>174.76</v>
      </c>
      <c r="AO684" t="s">
        <v>1425</v>
      </c>
      <c r="AP684">
        <v>45000</v>
      </c>
      <c r="AV684">
        <v>0.3</v>
      </c>
      <c r="AW684" t="s">
        <v>54</v>
      </c>
    </row>
    <row r="685" spans="1:49">
      <c r="A685" s="1">
        <f>HYPERLINK("https://cms.ls-nyc.org/matter/dynamic-profile/view/1880603","18-1880603")</f>
        <v>0</v>
      </c>
      <c r="B685" t="s">
        <v>65</v>
      </c>
      <c r="C685" t="s">
        <v>82</v>
      </c>
      <c r="D685" t="s">
        <v>227</v>
      </c>
      <c r="E685" t="s">
        <v>227</v>
      </c>
      <c r="F685" t="s">
        <v>347</v>
      </c>
      <c r="G685" t="s">
        <v>1916</v>
      </c>
      <c r="H685" t="s">
        <v>2656</v>
      </c>
      <c r="I685">
        <v>410</v>
      </c>
      <c r="J685" t="s">
        <v>4254</v>
      </c>
      <c r="K685">
        <v>11692</v>
      </c>
      <c r="L685" t="s">
        <v>4275</v>
      </c>
      <c r="M685" t="s">
        <v>4275</v>
      </c>
      <c r="O685" t="s">
        <v>4283</v>
      </c>
      <c r="P685" t="s">
        <v>4905</v>
      </c>
      <c r="Q685" t="s">
        <v>5731</v>
      </c>
      <c r="R685" t="s">
        <v>5753</v>
      </c>
      <c r="S685" t="s">
        <v>5759</v>
      </c>
      <c r="T685" t="s">
        <v>4276</v>
      </c>
      <c r="V685" t="s">
        <v>5767</v>
      </c>
      <c r="W685" t="s">
        <v>5774</v>
      </c>
      <c r="X685" t="s">
        <v>227</v>
      </c>
      <c r="Y685">
        <v>1536</v>
      </c>
      <c r="Z685" t="s">
        <v>5803</v>
      </c>
      <c r="AA685" t="s">
        <v>5804</v>
      </c>
      <c r="AB685" t="s">
        <v>5821</v>
      </c>
      <c r="AC685" t="s">
        <v>6462</v>
      </c>
      <c r="AD685" t="s">
        <v>7549</v>
      </c>
      <c r="AE685" t="s">
        <v>8456</v>
      </c>
      <c r="AF685">
        <v>220</v>
      </c>
      <c r="AG685" t="s">
        <v>9272</v>
      </c>
      <c r="AH685" t="s">
        <v>4280</v>
      </c>
      <c r="AI685">
        <v>18</v>
      </c>
      <c r="AJ685">
        <v>2</v>
      </c>
      <c r="AK685">
        <v>1</v>
      </c>
      <c r="AL685">
        <v>178.06</v>
      </c>
      <c r="AO685" t="s">
        <v>1425</v>
      </c>
      <c r="AP685">
        <v>37000</v>
      </c>
      <c r="AV685">
        <v>0.7</v>
      </c>
      <c r="AW685" t="s">
        <v>54</v>
      </c>
    </row>
    <row r="686" spans="1:49">
      <c r="A686" s="1">
        <f>HYPERLINK("https://cms.ls-nyc.org/matter/dynamic-profile/view/1882142","18-1882142")</f>
        <v>0</v>
      </c>
      <c r="B686" t="s">
        <v>65</v>
      </c>
      <c r="C686" t="s">
        <v>82</v>
      </c>
      <c r="D686" t="s">
        <v>130</v>
      </c>
      <c r="E686" t="s">
        <v>253</v>
      </c>
      <c r="F686" t="s">
        <v>844</v>
      </c>
      <c r="G686" t="s">
        <v>1917</v>
      </c>
      <c r="H686" t="s">
        <v>3100</v>
      </c>
      <c r="I686" t="s">
        <v>3886</v>
      </c>
      <c r="J686" t="s">
        <v>4247</v>
      </c>
      <c r="K686">
        <v>11415</v>
      </c>
      <c r="L686" t="s">
        <v>4275</v>
      </c>
      <c r="M686" t="s">
        <v>4275</v>
      </c>
      <c r="O686" t="s">
        <v>4283</v>
      </c>
      <c r="P686" t="s">
        <v>4906</v>
      </c>
      <c r="Q686" t="s">
        <v>5731</v>
      </c>
      <c r="R686" t="s">
        <v>5753</v>
      </c>
      <c r="S686" t="s">
        <v>5759</v>
      </c>
      <c r="T686" t="s">
        <v>4276</v>
      </c>
      <c r="V686" t="s">
        <v>5767</v>
      </c>
      <c r="W686" t="s">
        <v>5772</v>
      </c>
      <c r="X686" t="s">
        <v>130</v>
      </c>
      <c r="Y686">
        <v>1670</v>
      </c>
      <c r="Z686" t="s">
        <v>5803</v>
      </c>
      <c r="AA686" t="s">
        <v>5804</v>
      </c>
      <c r="AB686" t="s">
        <v>5821</v>
      </c>
      <c r="AC686" t="s">
        <v>6463</v>
      </c>
      <c r="AE686" t="s">
        <v>8457</v>
      </c>
      <c r="AF686">
        <v>66</v>
      </c>
      <c r="AG686" t="s">
        <v>9269</v>
      </c>
      <c r="AH686" t="s">
        <v>4280</v>
      </c>
      <c r="AI686">
        <v>2</v>
      </c>
      <c r="AJ686">
        <v>1</v>
      </c>
      <c r="AK686">
        <v>0</v>
      </c>
      <c r="AL686">
        <v>181.19</v>
      </c>
      <c r="AO686" t="s">
        <v>1425</v>
      </c>
      <c r="AP686">
        <v>21996</v>
      </c>
      <c r="AV686">
        <v>0.6</v>
      </c>
      <c r="AW686" t="s">
        <v>73</v>
      </c>
    </row>
    <row r="687" spans="1:49">
      <c r="A687" s="1">
        <f>HYPERLINK("https://cms.ls-nyc.org/matter/dynamic-profile/view/1878187","18-1878187")</f>
        <v>0</v>
      </c>
      <c r="B687" t="s">
        <v>65</v>
      </c>
      <c r="C687" t="s">
        <v>83</v>
      </c>
      <c r="D687" t="s">
        <v>188</v>
      </c>
      <c r="F687" t="s">
        <v>845</v>
      </c>
      <c r="G687" t="s">
        <v>1918</v>
      </c>
      <c r="H687" t="s">
        <v>3101</v>
      </c>
      <c r="I687" t="s">
        <v>3982</v>
      </c>
      <c r="J687" t="s">
        <v>4243</v>
      </c>
      <c r="K687">
        <v>11691</v>
      </c>
      <c r="L687" t="s">
        <v>4275</v>
      </c>
      <c r="M687" t="s">
        <v>4275</v>
      </c>
      <c r="O687" t="s">
        <v>4283</v>
      </c>
      <c r="P687" t="s">
        <v>4907</v>
      </c>
      <c r="Q687" t="s">
        <v>5731</v>
      </c>
      <c r="R687" t="s">
        <v>5752</v>
      </c>
      <c r="T687" t="s">
        <v>4276</v>
      </c>
      <c r="V687" t="s">
        <v>5767</v>
      </c>
      <c r="W687" t="s">
        <v>5774</v>
      </c>
      <c r="X687" t="s">
        <v>188</v>
      </c>
      <c r="Y687">
        <v>733</v>
      </c>
      <c r="Z687" t="s">
        <v>5803</v>
      </c>
      <c r="AA687" t="s">
        <v>5804</v>
      </c>
      <c r="AC687" t="s">
        <v>6464</v>
      </c>
      <c r="AD687" t="s">
        <v>7550</v>
      </c>
      <c r="AE687" t="s">
        <v>8458</v>
      </c>
      <c r="AF687">
        <v>140</v>
      </c>
      <c r="AG687" t="s">
        <v>9278</v>
      </c>
      <c r="AH687" t="s">
        <v>9282</v>
      </c>
      <c r="AI687">
        <v>8</v>
      </c>
      <c r="AJ687">
        <v>1</v>
      </c>
      <c r="AK687">
        <v>1</v>
      </c>
      <c r="AL687">
        <v>185.95</v>
      </c>
      <c r="AO687" t="s">
        <v>1425</v>
      </c>
      <c r="AP687">
        <v>30608</v>
      </c>
      <c r="AV687">
        <v>0.8</v>
      </c>
      <c r="AW687" t="s">
        <v>54</v>
      </c>
    </row>
    <row r="688" spans="1:49">
      <c r="A688" s="1">
        <f>HYPERLINK("https://cms.ls-nyc.org/matter/dynamic-profile/view/1879323","18-1879323")</f>
        <v>0</v>
      </c>
      <c r="B688" t="s">
        <v>65</v>
      </c>
      <c r="C688" t="s">
        <v>82</v>
      </c>
      <c r="D688" t="s">
        <v>220</v>
      </c>
      <c r="E688" t="s">
        <v>220</v>
      </c>
      <c r="F688" t="s">
        <v>846</v>
      </c>
      <c r="G688" t="s">
        <v>1919</v>
      </c>
      <c r="H688" t="s">
        <v>2675</v>
      </c>
      <c r="I688" t="s">
        <v>4054</v>
      </c>
      <c r="J688" t="s">
        <v>4241</v>
      </c>
      <c r="K688">
        <v>11368</v>
      </c>
      <c r="L688" t="s">
        <v>4275</v>
      </c>
      <c r="M688" t="s">
        <v>4275</v>
      </c>
      <c r="O688" t="s">
        <v>4283</v>
      </c>
      <c r="P688" t="s">
        <v>4908</v>
      </c>
      <c r="Q688" t="s">
        <v>5731</v>
      </c>
      <c r="R688" t="s">
        <v>5753</v>
      </c>
      <c r="S688" t="s">
        <v>5759</v>
      </c>
      <c r="T688" t="s">
        <v>4276</v>
      </c>
      <c r="V688" t="s">
        <v>5767</v>
      </c>
      <c r="W688" t="s">
        <v>5771</v>
      </c>
      <c r="X688" t="s">
        <v>220</v>
      </c>
      <c r="Y688">
        <v>1681</v>
      </c>
      <c r="Z688" t="s">
        <v>5803</v>
      </c>
      <c r="AA688" t="s">
        <v>5804</v>
      </c>
      <c r="AB688" t="s">
        <v>5821</v>
      </c>
      <c r="AC688" t="s">
        <v>6465</v>
      </c>
      <c r="AE688" t="s">
        <v>8459</v>
      </c>
      <c r="AF688">
        <v>252</v>
      </c>
      <c r="AG688" t="s">
        <v>9272</v>
      </c>
      <c r="AH688" t="s">
        <v>4280</v>
      </c>
      <c r="AI688">
        <v>30</v>
      </c>
      <c r="AJ688">
        <v>1</v>
      </c>
      <c r="AK688">
        <v>0</v>
      </c>
      <c r="AL688">
        <v>187.51</v>
      </c>
      <c r="AO688" t="s">
        <v>9298</v>
      </c>
      <c r="AP688">
        <v>22764</v>
      </c>
      <c r="AV688">
        <v>0.6</v>
      </c>
      <c r="AW688" t="s">
        <v>54</v>
      </c>
    </row>
    <row r="689" spans="1:49">
      <c r="A689" s="1">
        <f>HYPERLINK("https://cms.ls-nyc.org/matter/dynamic-profile/view/1897091","19-1897091")</f>
        <v>0</v>
      </c>
      <c r="B689" t="s">
        <v>65</v>
      </c>
      <c r="C689" t="s">
        <v>83</v>
      </c>
      <c r="D689" t="s">
        <v>240</v>
      </c>
      <c r="F689" t="s">
        <v>847</v>
      </c>
      <c r="G689" t="s">
        <v>1795</v>
      </c>
      <c r="H689" t="s">
        <v>3050</v>
      </c>
      <c r="I689" t="s">
        <v>4061</v>
      </c>
      <c r="J689" t="s">
        <v>4243</v>
      </c>
      <c r="K689">
        <v>11691</v>
      </c>
      <c r="L689" t="s">
        <v>4275</v>
      </c>
      <c r="M689" t="s">
        <v>4275</v>
      </c>
      <c r="O689" t="s">
        <v>4283</v>
      </c>
      <c r="Q689" t="s">
        <v>5738</v>
      </c>
      <c r="R689" t="s">
        <v>5755</v>
      </c>
      <c r="T689" t="s">
        <v>4275</v>
      </c>
      <c r="V689" t="s">
        <v>5767</v>
      </c>
      <c r="X689" t="s">
        <v>240</v>
      </c>
      <c r="Y689">
        <v>675</v>
      </c>
      <c r="Z689" t="s">
        <v>5803</v>
      </c>
      <c r="AA689" t="s">
        <v>5804</v>
      </c>
      <c r="AC689" t="s">
        <v>6466</v>
      </c>
      <c r="AE689" t="s">
        <v>8460</v>
      </c>
      <c r="AF689">
        <v>43</v>
      </c>
      <c r="AG689" t="s">
        <v>9281</v>
      </c>
      <c r="AI689">
        <v>4</v>
      </c>
      <c r="AJ689">
        <v>1</v>
      </c>
      <c r="AK689">
        <v>0</v>
      </c>
      <c r="AL689">
        <v>190.47</v>
      </c>
      <c r="AO689" t="s">
        <v>1425</v>
      </c>
      <c r="AP689">
        <v>23790</v>
      </c>
      <c r="AV689">
        <v>0</v>
      </c>
      <c r="AW689" t="s">
        <v>9547</v>
      </c>
    </row>
    <row r="690" spans="1:49">
      <c r="A690" s="1">
        <f>HYPERLINK("https://cms.ls-nyc.org/matter/dynamic-profile/view/1897102","19-1897102")</f>
        <v>0</v>
      </c>
      <c r="B690" t="s">
        <v>65</v>
      </c>
      <c r="C690" t="s">
        <v>83</v>
      </c>
      <c r="D690" t="s">
        <v>240</v>
      </c>
      <c r="F690" t="s">
        <v>847</v>
      </c>
      <c r="G690" t="s">
        <v>1795</v>
      </c>
      <c r="H690" t="s">
        <v>3050</v>
      </c>
      <c r="I690" t="s">
        <v>4061</v>
      </c>
      <c r="J690" t="s">
        <v>4243</v>
      </c>
      <c r="K690">
        <v>11691</v>
      </c>
      <c r="L690" t="s">
        <v>4275</v>
      </c>
      <c r="M690" t="s">
        <v>4275</v>
      </c>
      <c r="O690" t="s">
        <v>4283</v>
      </c>
      <c r="Q690" t="s">
        <v>5737</v>
      </c>
      <c r="R690" t="s">
        <v>5754</v>
      </c>
      <c r="T690" t="s">
        <v>4275</v>
      </c>
      <c r="V690" t="s">
        <v>5767</v>
      </c>
      <c r="X690" t="s">
        <v>240</v>
      </c>
      <c r="Y690">
        <v>675</v>
      </c>
      <c r="Z690" t="s">
        <v>5803</v>
      </c>
      <c r="AA690" t="s">
        <v>5804</v>
      </c>
      <c r="AC690" t="s">
        <v>6466</v>
      </c>
      <c r="AE690" t="s">
        <v>8460</v>
      </c>
      <c r="AF690">
        <v>43</v>
      </c>
      <c r="AG690" t="s">
        <v>9281</v>
      </c>
      <c r="AI690">
        <v>4</v>
      </c>
      <c r="AJ690">
        <v>1</v>
      </c>
      <c r="AK690">
        <v>0</v>
      </c>
      <c r="AL690">
        <v>190.47</v>
      </c>
      <c r="AO690" t="s">
        <v>1425</v>
      </c>
      <c r="AP690">
        <v>23790</v>
      </c>
      <c r="AV690">
        <v>0</v>
      </c>
      <c r="AW690" t="s">
        <v>9547</v>
      </c>
    </row>
    <row r="691" spans="1:49">
      <c r="A691" s="1">
        <f>HYPERLINK("https://cms.ls-nyc.org/matter/dynamic-profile/view/1884698","18-1884698")</f>
        <v>0</v>
      </c>
      <c r="B691" t="s">
        <v>65</v>
      </c>
      <c r="C691" t="s">
        <v>82</v>
      </c>
      <c r="D691" t="s">
        <v>174</v>
      </c>
      <c r="E691" t="s">
        <v>282</v>
      </c>
      <c r="F691" t="s">
        <v>848</v>
      </c>
      <c r="G691" t="s">
        <v>1761</v>
      </c>
      <c r="H691" t="s">
        <v>3102</v>
      </c>
      <c r="J691" t="s">
        <v>4249</v>
      </c>
      <c r="K691">
        <v>11429</v>
      </c>
      <c r="L691" t="s">
        <v>4275</v>
      </c>
      <c r="M691" t="s">
        <v>4275</v>
      </c>
      <c r="O691" t="s">
        <v>4283</v>
      </c>
      <c r="P691" t="s">
        <v>4909</v>
      </c>
      <c r="Q691" t="s">
        <v>5732</v>
      </c>
      <c r="R691" t="s">
        <v>5753</v>
      </c>
      <c r="S691" t="s">
        <v>5759</v>
      </c>
      <c r="T691" t="s">
        <v>4276</v>
      </c>
      <c r="V691" t="s">
        <v>5767</v>
      </c>
      <c r="W691" t="s">
        <v>5772</v>
      </c>
      <c r="X691" t="s">
        <v>174</v>
      </c>
      <c r="Y691">
        <v>811.14</v>
      </c>
      <c r="Z691" t="s">
        <v>5803</v>
      </c>
      <c r="AA691" t="s">
        <v>5804</v>
      </c>
      <c r="AB691" t="s">
        <v>5821</v>
      </c>
      <c r="AC691" t="s">
        <v>6467</v>
      </c>
      <c r="AE691" t="s">
        <v>8461</v>
      </c>
      <c r="AF691">
        <v>20</v>
      </c>
      <c r="AG691" t="s">
        <v>9270</v>
      </c>
      <c r="AH691" t="s">
        <v>4280</v>
      </c>
      <c r="AI691">
        <v>5</v>
      </c>
      <c r="AJ691">
        <v>1</v>
      </c>
      <c r="AK691">
        <v>0</v>
      </c>
      <c r="AL691">
        <v>192.43</v>
      </c>
      <c r="AO691" t="s">
        <v>1425</v>
      </c>
      <c r="AP691">
        <v>23361.29</v>
      </c>
      <c r="AV691">
        <v>0.7</v>
      </c>
      <c r="AW691" t="s">
        <v>54</v>
      </c>
    </row>
    <row r="692" spans="1:49">
      <c r="A692" s="1">
        <f>HYPERLINK("https://cms.ls-nyc.org/matter/dynamic-profile/view/1886576","18-1886576")</f>
        <v>0</v>
      </c>
      <c r="B692" t="s">
        <v>65</v>
      </c>
      <c r="C692" t="s">
        <v>83</v>
      </c>
      <c r="D692" t="s">
        <v>189</v>
      </c>
      <c r="F692" t="s">
        <v>849</v>
      </c>
      <c r="G692" t="s">
        <v>1920</v>
      </c>
      <c r="H692" t="s">
        <v>3103</v>
      </c>
      <c r="I692" t="s">
        <v>3999</v>
      </c>
      <c r="J692" t="s">
        <v>4259</v>
      </c>
      <c r="K692">
        <v>11693</v>
      </c>
      <c r="L692" t="s">
        <v>4275</v>
      </c>
      <c r="M692" t="s">
        <v>4275</v>
      </c>
      <c r="O692" t="s">
        <v>4282</v>
      </c>
      <c r="P692" t="s">
        <v>4910</v>
      </c>
      <c r="Q692" t="s">
        <v>5732</v>
      </c>
      <c r="R692" t="s">
        <v>5754</v>
      </c>
      <c r="T692" t="s">
        <v>4276</v>
      </c>
      <c r="V692" t="s">
        <v>5767</v>
      </c>
      <c r="W692" t="s">
        <v>5772</v>
      </c>
      <c r="X692" t="s">
        <v>189</v>
      </c>
      <c r="Y692">
        <v>1650</v>
      </c>
      <c r="Z692" t="s">
        <v>5803</v>
      </c>
      <c r="AA692" t="s">
        <v>5804</v>
      </c>
      <c r="AC692" t="s">
        <v>6468</v>
      </c>
      <c r="AE692" t="s">
        <v>8462</v>
      </c>
      <c r="AF692">
        <v>3</v>
      </c>
      <c r="AG692" t="s">
        <v>9269</v>
      </c>
      <c r="AH692" t="s">
        <v>9282</v>
      </c>
      <c r="AI692">
        <v>9</v>
      </c>
      <c r="AJ692">
        <v>3</v>
      </c>
      <c r="AK692">
        <v>0</v>
      </c>
      <c r="AL692">
        <v>197.31</v>
      </c>
      <c r="AO692" t="s">
        <v>1425</v>
      </c>
      <c r="AP692">
        <v>41000</v>
      </c>
      <c r="AV692">
        <v>0.9</v>
      </c>
      <c r="AW692" t="s">
        <v>54</v>
      </c>
    </row>
    <row r="693" spans="1:49">
      <c r="A693" s="1">
        <f>HYPERLINK("https://cms.ls-nyc.org/matter/dynamic-profile/view/1880073","18-1880073")</f>
        <v>0</v>
      </c>
      <c r="B693" t="s">
        <v>65</v>
      </c>
      <c r="C693" t="s">
        <v>82</v>
      </c>
      <c r="D693" t="s">
        <v>184</v>
      </c>
      <c r="E693" t="s">
        <v>225</v>
      </c>
      <c r="F693" t="s">
        <v>850</v>
      </c>
      <c r="G693" t="s">
        <v>1450</v>
      </c>
      <c r="H693" t="s">
        <v>3104</v>
      </c>
      <c r="J693" t="s">
        <v>4256</v>
      </c>
      <c r="K693">
        <v>11411</v>
      </c>
      <c r="L693" t="s">
        <v>4275</v>
      </c>
      <c r="M693" t="s">
        <v>4275</v>
      </c>
      <c r="O693" t="s">
        <v>4283</v>
      </c>
      <c r="P693" t="s">
        <v>4911</v>
      </c>
      <c r="Q693" t="s">
        <v>5732</v>
      </c>
      <c r="R693" t="s">
        <v>5754</v>
      </c>
      <c r="S693" t="s">
        <v>5759</v>
      </c>
      <c r="T693" t="s">
        <v>4276</v>
      </c>
      <c r="V693" t="s">
        <v>5767</v>
      </c>
      <c r="W693" t="s">
        <v>5772</v>
      </c>
      <c r="X693" t="s">
        <v>184</v>
      </c>
      <c r="Y693">
        <v>0</v>
      </c>
      <c r="Z693" t="s">
        <v>5803</v>
      </c>
      <c r="AA693" t="s">
        <v>5804</v>
      </c>
      <c r="AB693" t="s">
        <v>5821</v>
      </c>
      <c r="AC693" t="s">
        <v>6469</v>
      </c>
      <c r="AE693" t="s">
        <v>8463</v>
      </c>
      <c r="AF693">
        <v>1</v>
      </c>
      <c r="AG693" t="s">
        <v>9269</v>
      </c>
      <c r="AH693" t="s">
        <v>4280</v>
      </c>
      <c r="AI693">
        <v>46</v>
      </c>
      <c r="AJ693">
        <v>2</v>
      </c>
      <c r="AK693">
        <v>1</v>
      </c>
      <c r="AL693">
        <v>200</v>
      </c>
      <c r="AO693" t="s">
        <v>1425</v>
      </c>
      <c r="AP693">
        <v>41560</v>
      </c>
      <c r="AV693">
        <v>1</v>
      </c>
      <c r="AW693" t="s">
        <v>73</v>
      </c>
    </row>
    <row r="694" spans="1:49">
      <c r="A694" s="1">
        <f>HYPERLINK("https://cms.ls-nyc.org/matter/dynamic-profile/view/1892591","19-1892591")</f>
        <v>0</v>
      </c>
      <c r="B694" t="s">
        <v>65</v>
      </c>
      <c r="C694" t="s">
        <v>82</v>
      </c>
      <c r="D694" t="s">
        <v>163</v>
      </c>
      <c r="E694" t="s">
        <v>163</v>
      </c>
      <c r="F694" t="s">
        <v>851</v>
      </c>
      <c r="G694" t="s">
        <v>1736</v>
      </c>
      <c r="H694" t="s">
        <v>3048</v>
      </c>
      <c r="I694" t="s">
        <v>4062</v>
      </c>
      <c r="J694" t="s">
        <v>4234</v>
      </c>
      <c r="K694">
        <v>11103</v>
      </c>
      <c r="L694" t="s">
        <v>4275</v>
      </c>
      <c r="M694" t="s">
        <v>4275</v>
      </c>
      <c r="O694" t="s">
        <v>4283</v>
      </c>
      <c r="Q694" t="s">
        <v>4698</v>
      </c>
      <c r="R694" t="s">
        <v>5753</v>
      </c>
      <c r="S694" t="s">
        <v>5759</v>
      </c>
      <c r="T694" t="s">
        <v>4276</v>
      </c>
      <c r="V694" t="s">
        <v>5767</v>
      </c>
      <c r="X694" t="s">
        <v>160</v>
      </c>
      <c r="Y694">
        <v>0</v>
      </c>
      <c r="Z694" t="s">
        <v>5803</v>
      </c>
      <c r="AA694" t="s">
        <v>5810</v>
      </c>
      <c r="AB694" t="s">
        <v>5821</v>
      </c>
      <c r="AC694" t="s">
        <v>6470</v>
      </c>
      <c r="AD694" t="s">
        <v>7289</v>
      </c>
      <c r="AE694" t="s">
        <v>7289</v>
      </c>
      <c r="AF694">
        <v>0</v>
      </c>
      <c r="AG694" t="s">
        <v>9270</v>
      </c>
      <c r="AH694" t="s">
        <v>4280</v>
      </c>
      <c r="AI694">
        <v>0</v>
      </c>
      <c r="AJ694">
        <v>2</v>
      </c>
      <c r="AK694">
        <v>0</v>
      </c>
      <c r="AL694">
        <v>219.99</v>
      </c>
      <c r="AO694" t="s">
        <v>1425</v>
      </c>
      <c r="AP694">
        <v>37200</v>
      </c>
      <c r="AV694">
        <v>0.05</v>
      </c>
      <c r="AW694" t="s">
        <v>65</v>
      </c>
    </row>
    <row r="695" spans="1:49">
      <c r="A695" s="1">
        <f>HYPERLINK("https://cms.ls-nyc.org/matter/dynamic-profile/view/1892392","19-1892392")</f>
        <v>0</v>
      </c>
      <c r="B695" t="s">
        <v>65</v>
      </c>
      <c r="C695" t="s">
        <v>82</v>
      </c>
      <c r="D695" t="s">
        <v>241</v>
      </c>
      <c r="E695" t="s">
        <v>163</v>
      </c>
      <c r="F695" t="s">
        <v>852</v>
      </c>
      <c r="G695" t="s">
        <v>1921</v>
      </c>
      <c r="H695" t="s">
        <v>3105</v>
      </c>
      <c r="J695" t="s">
        <v>4258</v>
      </c>
      <c r="K695">
        <v>11370</v>
      </c>
      <c r="L695" t="s">
        <v>4275</v>
      </c>
      <c r="M695" t="s">
        <v>4275</v>
      </c>
      <c r="O695" t="s">
        <v>4283</v>
      </c>
      <c r="Q695" t="s">
        <v>4698</v>
      </c>
      <c r="R695" t="s">
        <v>5753</v>
      </c>
      <c r="S695" t="s">
        <v>5759</v>
      </c>
      <c r="T695" t="s">
        <v>4276</v>
      </c>
      <c r="V695" t="s">
        <v>5767</v>
      </c>
      <c r="X695" t="s">
        <v>160</v>
      </c>
      <c r="Y695">
        <v>0</v>
      </c>
      <c r="Z695" t="s">
        <v>5803</v>
      </c>
      <c r="AA695" t="s">
        <v>5810</v>
      </c>
      <c r="AB695" t="s">
        <v>5821</v>
      </c>
      <c r="AC695" t="s">
        <v>6471</v>
      </c>
      <c r="AD695" t="s">
        <v>7289</v>
      </c>
      <c r="AE695" t="s">
        <v>7289</v>
      </c>
      <c r="AF695">
        <v>0</v>
      </c>
      <c r="AG695" t="s">
        <v>9270</v>
      </c>
      <c r="AH695" t="s">
        <v>4280</v>
      </c>
      <c r="AI695">
        <v>0</v>
      </c>
      <c r="AJ695">
        <v>1</v>
      </c>
      <c r="AK695">
        <v>0</v>
      </c>
      <c r="AL695">
        <v>240.19</v>
      </c>
      <c r="AO695" t="s">
        <v>1425</v>
      </c>
      <c r="AP695">
        <v>30000</v>
      </c>
      <c r="AV695">
        <v>0.05</v>
      </c>
      <c r="AW695" t="s">
        <v>65</v>
      </c>
    </row>
    <row r="696" spans="1:49">
      <c r="A696" s="1">
        <f>HYPERLINK("https://cms.ls-nyc.org/matter/dynamic-profile/view/1880566","18-1880566")</f>
        <v>0</v>
      </c>
      <c r="B696" t="s">
        <v>65</v>
      </c>
      <c r="C696" t="s">
        <v>82</v>
      </c>
      <c r="D696" t="s">
        <v>227</v>
      </c>
      <c r="E696" t="s">
        <v>306</v>
      </c>
      <c r="F696" t="s">
        <v>853</v>
      </c>
      <c r="G696" t="s">
        <v>1922</v>
      </c>
      <c r="H696" t="s">
        <v>2860</v>
      </c>
      <c r="I696" t="s">
        <v>4063</v>
      </c>
      <c r="J696" t="s">
        <v>4240</v>
      </c>
      <c r="K696">
        <v>11373</v>
      </c>
      <c r="L696" t="s">
        <v>4275</v>
      </c>
      <c r="M696" t="s">
        <v>4275</v>
      </c>
      <c r="O696" t="s">
        <v>4281</v>
      </c>
      <c r="P696" t="s">
        <v>4912</v>
      </c>
      <c r="Q696" t="s">
        <v>5731</v>
      </c>
      <c r="R696" t="s">
        <v>5753</v>
      </c>
      <c r="S696" t="s">
        <v>5759</v>
      </c>
      <c r="T696" t="s">
        <v>4276</v>
      </c>
      <c r="V696" t="s">
        <v>5767</v>
      </c>
      <c r="W696" t="s">
        <v>5772</v>
      </c>
      <c r="X696" t="s">
        <v>227</v>
      </c>
      <c r="Y696">
        <v>1216</v>
      </c>
      <c r="Z696" t="s">
        <v>5803</v>
      </c>
      <c r="AA696" t="s">
        <v>5804</v>
      </c>
      <c r="AB696" t="s">
        <v>5821</v>
      </c>
      <c r="AC696" t="s">
        <v>6472</v>
      </c>
      <c r="AD696" t="s">
        <v>7551</v>
      </c>
      <c r="AE696" t="s">
        <v>8464</v>
      </c>
      <c r="AF696">
        <v>163</v>
      </c>
      <c r="AG696" t="s">
        <v>9270</v>
      </c>
      <c r="AH696" t="s">
        <v>4280</v>
      </c>
      <c r="AI696">
        <v>22</v>
      </c>
      <c r="AJ696">
        <v>3</v>
      </c>
      <c r="AK696">
        <v>0</v>
      </c>
      <c r="AL696">
        <v>286.33</v>
      </c>
      <c r="AO696" t="s">
        <v>1425</v>
      </c>
      <c r="AP696">
        <v>59500</v>
      </c>
      <c r="AV696">
        <v>1.6</v>
      </c>
      <c r="AW696" t="s">
        <v>54</v>
      </c>
    </row>
    <row r="697" spans="1:49">
      <c r="A697" s="1">
        <f>HYPERLINK("https://cms.ls-nyc.org/matter/dynamic-profile/view/1896465","19-1896465")</f>
        <v>0</v>
      </c>
      <c r="B697" t="s">
        <v>65</v>
      </c>
      <c r="C697" t="s">
        <v>83</v>
      </c>
      <c r="D697" t="s">
        <v>248</v>
      </c>
      <c r="F697" t="s">
        <v>684</v>
      </c>
      <c r="G697" t="s">
        <v>1923</v>
      </c>
      <c r="H697" t="s">
        <v>3050</v>
      </c>
      <c r="I697" t="s">
        <v>3844</v>
      </c>
      <c r="J697" t="s">
        <v>4243</v>
      </c>
      <c r="K697">
        <v>11691</v>
      </c>
      <c r="L697" t="s">
        <v>4275</v>
      </c>
      <c r="M697" t="s">
        <v>4275</v>
      </c>
      <c r="O697" t="s">
        <v>4283</v>
      </c>
      <c r="Q697" t="s">
        <v>5738</v>
      </c>
      <c r="R697" t="s">
        <v>5755</v>
      </c>
      <c r="T697" t="s">
        <v>4275</v>
      </c>
      <c r="V697" t="s">
        <v>5767</v>
      </c>
      <c r="X697" t="s">
        <v>248</v>
      </c>
      <c r="Y697">
        <v>540</v>
      </c>
      <c r="Z697" t="s">
        <v>5803</v>
      </c>
      <c r="AC697" t="s">
        <v>6473</v>
      </c>
      <c r="AE697" t="s">
        <v>8465</v>
      </c>
      <c r="AF697">
        <v>43</v>
      </c>
      <c r="AI697">
        <v>40</v>
      </c>
      <c r="AJ697">
        <v>2</v>
      </c>
      <c r="AK697">
        <v>0</v>
      </c>
      <c r="AL697">
        <v>299.49</v>
      </c>
      <c r="AP697">
        <v>50644</v>
      </c>
      <c r="AV697">
        <v>0</v>
      </c>
      <c r="AW697" t="s">
        <v>9547</v>
      </c>
    </row>
    <row r="698" spans="1:49">
      <c r="A698" s="1">
        <f>HYPERLINK("https://cms.ls-nyc.org/matter/dynamic-profile/view/1896466","19-1896466")</f>
        <v>0</v>
      </c>
      <c r="B698" t="s">
        <v>65</v>
      </c>
      <c r="C698" t="s">
        <v>83</v>
      </c>
      <c r="D698" t="s">
        <v>248</v>
      </c>
      <c r="F698" t="s">
        <v>684</v>
      </c>
      <c r="G698" t="s">
        <v>1923</v>
      </c>
      <c r="H698" t="s">
        <v>3050</v>
      </c>
      <c r="I698" t="s">
        <v>3844</v>
      </c>
      <c r="J698" t="s">
        <v>4243</v>
      </c>
      <c r="K698">
        <v>11691</v>
      </c>
      <c r="L698" t="s">
        <v>4275</v>
      </c>
      <c r="M698" t="s">
        <v>4275</v>
      </c>
      <c r="O698" t="s">
        <v>4283</v>
      </c>
      <c r="Q698" t="s">
        <v>5737</v>
      </c>
      <c r="R698" t="s">
        <v>5754</v>
      </c>
      <c r="T698" t="s">
        <v>4275</v>
      </c>
      <c r="V698" t="s">
        <v>5767</v>
      </c>
      <c r="X698" t="s">
        <v>248</v>
      </c>
      <c r="Y698">
        <v>540</v>
      </c>
      <c r="Z698" t="s">
        <v>5803</v>
      </c>
      <c r="AA698" t="s">
        <v>5804</v>
      </c>
      <c r="AC698" t="s">
        <v>6473</v>
      </c>
      <c r="AE698" t="s">
        <v>8465</v>
      </c>
      <c r="AF698">
        <v>43</v>
      </c>
      <c r="AI698">
        <v>40</v>
      </c>
      <c r="AJ698">
        <v>2</v>
      </c>
      <c r="AK698">
        <v>0</v>
      </c>
      <c r="AL698">
        <v>299.49</v>
      </c>
      <c r="AO698" t="s">
        <v>1425</v>
      </c>
      <c r="AP698">
        <v>50644</v>
      </c>
      <c r="AV698">
        <v>0</v>
      </c>
      <c r="AW698" t="s">
        <v>9547</v>
      </c>
    </row>
    <row r="699" spans="1:49">
      <c r="A699" s="1">
        <f>HYPERLINK("https://cms.ls-nyc.org/matter/dynamic-profile/view/1896309","19-1896309")</f>
        <v>0</v>
      </c>
      <c r="B699" t="s">
        <v>65</v>
      </c>
      <c r="C699" t="s">
        <v>83</v>
      </c>
      <c r="D699" t="s">
        <v>246</v>
      </c>
      <c r="F699" t="s">
        <v>854</v>
      </c>
      <c r="G699" t="s">
        <v>1853</v>
      </c>
      <c r="H699" t="s">
        <v>3050</v>
      </c>
      <c r="I699" t="s">
        <v>4064</v>
      </c>
      <c r="J699" t="s">
        <v>4243</v>
      </c>
      <c r="K699">
        <v>11691</v>
      </c>
      <c r="L699" t="s">
        <v>4275</v>
      </c>
      <c r="M699" t="s">
        <v>4275</v>
      </c>
      <c r="O699" t="s">
        <v>4283</v>
      </c>
      <c r="Q699" t="s">
        <v>5738</v>
      </c>
      <c r="R699" t="s">
        <v>5752</v>
      </c>
      <c r="T699" t="s">
        <v>4275</v>
      </c>
      <c r="V699" t="s">
        <v>5767</v>
      </c>
      <c r="X699" t="s">
        <v>246</v>
      </c>
      <c r="Y699">
        <v>637</v>
      </c>
      <c r="Z699" t="s">
        <v>5803</v>
      </c>
      <c r="AA699" t="s">
        <v>5804</v>
      </c>
      <c r="AC699" t="s">
        <v>6474</v>
      </c>
      <c r="AE699" t="s">
        <v>8466</v>
      </c>
      <c r="AF699">
        <v>43</v>
      </c>
      <c r="AI699">
        <v>28</v>
      </c>
      <c r="AJ699">
        <v>1</v>
      </c>
      <c r="AK699">
        <v>0</v>
      </c>
      <c r="AL699">
        <v>312.25</v>
      </c>
      <c r="AO699" t="s">
        <v>1425</v>
      </c>
      <c r="AP699">
        <v>39000</v>
      </c>
      <c r="AV699">
        <v>0</v>
      </c>
      <c r="AW699" t="s">
        <v>9547</v>
      </c>
    </row>
    <row r="700" spans="1:49">
      <c r="A700" s="1">
        <f>HYPERLINK("https://cms.ls-nyc.org/matter/dynamic-profile/view/1896320","19-1896320")</f>
        <v>0</v>
      </c>
      <c r="B700" t="s">
        <v>65</v>
      </c>
      <c r="C700" t="s">
        <v>83</v>
      </c>
      <c r="D700" t="s">
        <v>246</v>
      </c>
      <c r="F700" t="s">
        <v>854</v>
      </c>
      <c r="G700" t="s">
        <v>1853</v>
      </c>
      <c r="H700" t="s">
        <v>3050</v>
      </c>
      <c r="I700" t="s">
        <v>4064</v>
      </c>
      <c r="J700" t="s">
        <v>4243</v>
      </c>
      <c r="K700">
        <v>11691</v>
      </c>
      <c r="L700" t="s">
        <v>4275</v>
      </c>
      <c r="M700" t="s">
        <v>4275</v>
      </c>
      <c r="O700" t="s">
        <v>4283</v>
      </c>
      <c r="Q700" t="s">
        <v>5738</v>
      </c>
      <c r="R700" t="s">
        <v>5755</v>
      </c>
      <c r="T700" t="s">
        <v>4275</v>
      </c>
      <c r="V700" t="s">
        <v>5767</v>
      </c>
      <c r="X700" t="s">
        <v>246</v>
      </c>
      <c r="Y700">
        <v>637</v>
      </c>
      <c r="Z700" t="s">
        <v>5803</v>
      </c>
      <c r="AA700" t="s">
        <v>5804</v>
      </c>
      <c r="AC700" t="s">
        <v>6474</v>
      </c>
      <c r="AE700" t="s">
        <v>8466</v>
      </c>
      <c r="AF700">
        <v>43</v>
      </c>
      <c r="AI700">
        <v>28</v>
      </c>
      <c r="AJ700">
        <v>1</v>
      </c>
      <c r="AK700">
        <v>0</v>
      </c>
      <c r="AL700">
        <v>312.25</v>
      </c>
      <c r="AO700" t="s">
        <v>1425</v>
      </c>
      <c r="AP700">
        <v>39000</v>
      </c>
      <c r="AV700">
        <v>0</v>
      </c>
      <c r="AW700" t="s">
        <v>9547</v>
      </c>
    </row>
    <row r="701" spans="1:49">
      <c r="A701" s="1">
        <f>HYPERLINK("https://cms.ls-nyc.org/matter/dynamic-profile/view/1896342","19-1896342")</f>
        <v>0</v>
      </c>
      <c r="B701" t="s">
        <v>65</v>
      </c>
      <c r="C701" t="s">
        <v>83</v>
      </c>
      <c r="D701" t="s">
        <v>246</v>
      </c>
      <c r="F701" t="s">
        <v>452</v>
      </c>
      <c r="G701" t="s">
        <v>1583</v>
      </c>
      <c r="H701" t="s">
        <v>3050</v>
      </c>
      <c r="I701">
        <v>10</v>
      </c>
      <c r="J701" t="s">
        <v>4243</v>
      </c>
      <c r="K701">
        <v>11691</v>
      </c>
      <c r="L701" t="s">
        <v>4275</v>
      </c>
      <c r="M701" t="s">
        <v>4275</v>
      </c>
      <c r="O701" t="s">
        <v>4283</v>
      </c>
      <c r="Q701" t="s">
        <v>5738</v>
      </c>
      <c r="R701" t="s">
        <v>5755</v>
      </c>
      <c r="T701" t="s">
        <v>4275</v>
      </c>
      <c r="V701" t="s">
        <v>5767</v>
      </c>
      <c r="X701" t="s">
        <v>246</v>
      </c>
      <c r="Y701">
        <v>660</v>
      </c>
      <c r="Z701" t="s">
        <v>5803</v>
      </c>
      <c r="AC701" t="s">
        <v>6475</v>
      </c>
      <c r="AE701" t="s">
        <v>8467</v>
      </c>
      <c r="AF701">
        <v>43</v>
      </c>
      <c r="AI701">
        <v>10</v>
      </c>
      <c r="AJ701">
        <v>2</v>
      </c>
      <c r="AK701">
        <v>0</v>
      </c>
      <c r="AL701">
        <v>340.63</v>
      </c>
      <c r="AO701" t="s">
        <v>1425</v>
      </c>
      <c r="AP701">
        <v>57600</v>
      </c>
      <c r="AV701">
        <v>0</v>
      </c>
      <c r="AW701" t="s">
        <v>9547</v>
      </c>
    </row>
    <row r="702" spans="1:49">
      <c r="A702" s="1">
        <f>HYPERLINK("https://cms.ls-nyc.org/matter/dynamic-profile/view/1896347","19-1896347")</f>
        <v>0</v>
      </c>
      <c r="B702" t="s">
        <v>65</v>
      </c>
      <c r="C702" t="s">
        <v>83</v>
      </c>
      <c r="D702" t="s">
        <v>246</v>
      </c>
      <c r="F702" t="s">
        <v>452</v>
      </c>
      <c r="G702" t="s">
        <v>1583</v>
      </c>
      <c r="H702" t="s">
        <v>3050</v>
      </c>
      <c r="I702">
        <v>10</v>
      </c>
      <c r="J702" t="s">
        <v>4243</v>
      </c>
      <c r="K702">
        <v>11691</v>
      </c>
      <c r="L702" t="s">
        <v>4275</v>
      </c>
      <c r="M702" t="s">
        <v>4275</v>
      </c>
      <c r="O702" t="s">
        <v>4283</v>
      </c>
      <c r="Q702" t="s">
        <v>5738</v>
      </c>
      <c r="R702" t="s">
        <v>5754</v>
      </c>
      <c r="T702" t="s">
        <v>4275</v>
      </c>
      <c r="V702" t="s">
        <v>5767</v>
      </c>
      <c r="X702" t="s">
        <v>246</v>
      </c>
      <c r="Y702">
        <v>660</v>
      </c>
      <c r="Z702" t="s">
        <v>5803</v>
      </c>
      <c r="AA702" t="s">
        <v>5804</v>
      </c>
      <c r="AC702" t="s">
        <v>6475</v>
      </c>
      <c r="AE702" t="s">
        <v>8467</v>
      </c>
      <c r="AF702">
        <v>43</v>
      </c>
      <c r="AI702">
        <v>10</v>
      </c>
      <c r="AJ702">
        <v>2</v>
      </c>
      <c r="AK702">
        <v>0</v>
      </c>
      <c r="AL702">
        <v>340.63</v>
      </c>
      <c r="AO702" t="s">
        <v>1425</v>
      </c>
      <c r="AP702">
        <v>57600</v>
      </c>
      <c r="AV702">
        <v>0</v>
      </c>
      <c r="AW702" t="s">
        <v>9547</v>
      </c>
    </row>
    <row r="703" spans="1:49">
      <c r="A703" s="1">
        <f>HYPERLINK("https://cms.ls-nyc.org/matter/dynamic-profile/view/1897064","19-1897064")</f>
        <v>0</v>
      </c>
      <c r="B703" t="s">
        <v>65</v>
      </c>
      <c r="C703" t="s">
        <v>83</v>
      </c>
      <c r="D703" t="s">
        <v>240</v>
      </c>
      <c r="F703" t="s">
        <v>381</v>
      </c>
      <c r="G703" t="s">
        <v>1480</v>
      </c>
      <c r="H703" t="s">
        <v>3050</v>
      </c>
      <c r="I703" t="s">
        <v>4065</v>
      </c>
      <c r="J703" t="s">
        <v>4243</v>
      </c>
      <c r="K703">
        <v>11691</v>
      </c>
      <c r="L703" t="s">
        <v>4275</v>
      </c>
      <c r="M703" t="s">
        <v>4275</v>
      </c>
      <c r="O703" t="s">
        <v>4283</v>
      </c>
      <c r="Q703" t="s">
        <v>5738</v>
      </c>
      <c r="R703" t="s">
        <v>5755</v>
      </c>
      <c r="T703" t="s">
        <v>4275</v>
      </c>
      <c r="V703" t="s">
        <v>5767</v>
      </c>
      <c r="X703" t="s">
        <v>240</v>
      </c>
      <c r="Y703">
        <v>819</v>
      </c>
      <c r="Z703" t="s">
        <v>5803</v>
      </c>
      <c r="AA703" t="s">
        <v>5804</v>
      </c>
      <c r="AC703" t="s">
        <v>6476</v>
      </c>
      <c r="AE703" t="s">
        <v>8468</v>
      </c>
      <c r="AF703">
        <v>43</v>
      </c>
      <c r="AI703">
        <v>15</v>
      </c>
      <c r="AJ703">
        <v>1</v>
      </c>
      <c r="AK703">
        <v>0</v>
      </c>
      <c r="AL703">
        <v>408.33</v>
      </c>
      <c r="AO703" t="s">
        <v>9298</v>
      </c>
      <c r="AP703">
        <v>51000</v>
      </c>
      <c r="AV703">
        <v>0</v>
      </c>
      <c r="AW703" t="s">
        <v>9547</v>
      </c>
    </row>
    <row r="704" spans="1:49">
      <c r="A704" s="1">
        <f>HYPERLINK("https://cms.ls-nyc.org/matter/dynamic-profile/view/1897069","19-1897069")</f>
        <v>0</v>
      </c>
      <c r="B704" t="s">
        <v>65</v>
      </c>
      <c r="C704" t="s">
        <v>83</v>
      </c>
      <c r="D704" t="s">
        <v>240</v>
      </c>
      <c r="F704" t="s">
        <v>381</v>
      </c>
      <c r="G704" t="s">
        <v>1480</v>
      </c>
      <c r="H704" t="s">
        <v>3050</v>
      </c>
      <c r="I704" t="s">
        <v>4065</v>
      </c>
      <c r="J704" t="s">
        <v>4243</v>
      </c>
      <c r="K704">
        <v>11691</v>
      </c>
      <c r="L704" t="s">
        <v>4275</v>
      </c>
      <c r="M704" t="s">
        <v>4275</v>
      </c>
      <c r="O704" t="s">
        <v>4283</v>
      </c>
      <c r="Q704" t="s">
        <v>5737</v>
      </c>
      <c r="R704" t="s">
        <v>5754</v>
      </c>
      <c r="V704" t="s">
        <v>5767</v>
      </c>
      <c r="X704" t="s">
        <v>240</v>
      </c>
      <c r="Y704">
        <v>819</v>
      </c>
      <c r="Z704" t="s">
        <v>5803</v>
      </c>
      <c r="AA704" t="s">
        <v>5804</v>
      </c>
      <c r="AC704" t="s">
        <v>6476</v>
      </c>
      <c r="AE704" t="s">
        <v>8468</v>
      </c>
      <c r="AF704">
        <v>43</v>
      </c>
      <c r="AI704">
        <v>15</v>
      </c>
      <c r="AJ704">
        <v>1</v>
      </c>
      <c r="AK704">
        <v>0</v>
      </c>
      <c r="AL704">
        <v>408.33</v>
      </c>
      <c r="AO704" t="s">
        <v>9298</v>
      </c>
      <c r="AP704">
        <v>51000</v>
      </c>
      <c r="AV704">
        <v>0</v>
      </c>
      <c r="AW704" t="s">
        <v>9547</v>
      </c>
    </row>
    <row r="705" spans="1:49">
      <c r="A705" s="1">
        <f>HYPERLINK("https://cms.ls-nyc.org/matter/dynamic-profile/view/1885657","18-1885657")</f>
        <v>0</v>
      </c>
      <c r="B705" t="s">
        <v>65</v>
      </c>
      <c r="C705" t="s">
        <v>83</v>
      </c>
      <c r="D705" t="s">
        <v>187</v>
      </c>
      <c r="F705" t="s">
        <v>855</v>
      </c>
      <c r="G705" t="s">
        <v>1896</v>
      </c>
      <c r="H705" t="s">
        <v>3106</v>
      </c>
      <c r="I705" t="s">
        <v>3880</v>
      </c>
      <c r="J705" t="s">
        <v>4232</v>
      </c>
      <c r="K705">
        <v>11104</v>
      </c>
      <c r="L705" t="s">
        <v>4275</v>
      </c>
      <c r="M705" t="s">
        <v>4275</v>
      </c>
      <c r="O705" t="s">
        <v>4283</v>
      </c>
      <c r="P705" t="s">
        <v>4913</v>
      </c>
      <c r="Q705" t="s">
        <v>5731</v>
      </c>
      <c r="R705" t="s">
        <v>5751</v>
      </c>
      <c r="T705" t="s">
        <v>4276</v>
      </c>
      <c r="V705" t="s">
        <v>5767</v>
      </c>
      <c r="W705" t="s">
        <v>5772</v>
      </c>
      <c r="X705" t="s">
        <v>187</v>
      </c>
      <c r="Y705">
        <v>1308.56</v>
      </c>
      <c r="Z705" t="s">
        <v>5803</v>
      </c>
      <c r="AA705" t="s">
        <v>5804</v>
      </c>
      <c r="AC705" t="s">
        <v>6477</v>
      </c>
      <c r="AD705" t="s">
        <v>7552</v>
      </c>
      <c r="AE705" t="s">
        <v>8469</v>
      </c>
      <c r="AF705">
        <v>8</v>
      </c>
      <c r="AG705" t="s">
        <v>9272</v>
      </c>
      <c r="AH705" t="s">
        <v>4280</v>
      </c>
      <c r="AI705">
        <v>35</v>
      </c>
      <c r="AJ705">
        <v>2</v>
      </c>
      <c r="AK705">
        <v>0</v>
      </c>
      <c r="AL705">
        <v>510.91</v>
      </c>
      <c r="AO705" t="s">
        <v>1425</v>
      </c>
      <c r="AP705">
        <v>84096</v>
      </c>
      <c r="AR705" t="s">
        <v>9327</v>
      </c>
      <c r="AS705" t="s">
        <v>5806</v>
      </c>
      <c r="AT705" t="s">
        <v>9371</v>
      </c>
      <c r="AU705" t="s">
        <v>9482</v>
      </c>
      <c r="AV705">
        <v>9.1</v>
      </c>
      <c r="AW705" t="s">
        <v>67</v>
      </c>
    </row>
    <row r="706" spans="1:49">
      <c r="A706" s="1">
        <f>HYPERLINK("https://cms.ls-nyc.org/matter/dynamic-profile/view/1873866","18-1873866")</f>
        <v>0</v>
      </c>
      <c r="B706" t="s">
        <v>66</v>
      </c>
      <c r="C706" t="s">
        <v>82</v>
      </c>
      <c r="D706" t="s">
        <v>131</v>
      </c>
      <c r="E706" t="s">
        <v>131</v>
      </c>
      <c r="F706" t="s">
        <v>856</v>
      </c>
      <c r="G706" t="s">
        <v>1924</v>
      </c>
      <c r="H706" t="s">
        <v>3107</v>
      </c>
      <c r="I706" t="s">
        <v>3841</v>
      </c>
      <c r="J706" t="s">
        <v>4229</v>
      </c>
      <c r="K706">
        <v>11358</v>
      </c>
      <c r="L706" t="s">
        <v>4275</v>
      </c>
      <c r="M706" t="s">
        <v>4275</v>
      </c>
      <c r="O706" t="s">
        <v>4283</v>
      </c>
      <c r="P706" t="s">
        <v>4700</v>
      </c>
      <c r="Q706" t="s">
        <v>4698</v>
      </c>
      <c r="R706" t="s">
        <v>5753</v>
      </c>
      <c r="S706" t="s">
        <v>5759</v>
      </c>
      <c r="T706" t="s">
        <v>4276</v>
      </c>
      <c r="V706" t="s">
        <v>5767</v>
      </c>
      <c r="W706" t="s">
        <v>5772</v>
      </c>
      <c r="X706" t="s">
        <v>131</v>
      </c>
      <c r="Y706">
        <v>2300</v>
      </c>
      <c r="Z706" t="s">
        <v>5803</v>
      </c>
      <c r="AA706" t="s">
        <v>5806</v>
      </c>
      <c r="AB706" t="s">
        <v>5821</v>
      </c>
      <c r="AC706" t="s">
        <v>6478</v>
      </c>
      <c r="AD706" t="s">
        <v>4700</v>
      </c>
      <c r="AE706" t="s">
        <v>8470</v>
      </c>
      <c r="AF706">
        <v>2</v>
      </c>
      <c r="AG706" t="s">
        <v>9269</v>
      </c>
      <c r="AH706" t="s">
        <v>4280</v>
      </c>
      <c r="AI706">
        <v>4</v>
      </c>
      <c r="AJ706">
        <v>1</v>
      </c>
      <c r="AK706">
        <v>0</v>
      </c>
      <c r="AL706">
        <v>0</v>
      </c>
      <c r="AO706" t="s">
        <v>1425</v>
      </c>
      <c r="AP706">
        <v>0</v>
      </c>
      <c r="AV706">
        <v>0.9</v>
      </c>
      <c r="AW706" t="s">
        <v>9548</v>
      </c>
    </row>
    <row r="707" spans="1:49">
      <c r="A707" s="1">
        <f>HYPERLINK("https://cms.ls-nyc.org/matter/dynamic-profile/view/1875590","18-1875590")</f>
        <v>0</v>
      </c>
      <c r="B707" t="s">
        <v>66</v>
      </c>
      <c r="C707" t="s">
        <v>82</v>
      </c>
      <c r="D707" t="s">
        <v>122</v>
      </c>
      <c r="E707" t="s">
        <v>175</v>
      </c>
      <c r="F707" t="s">
        <v>857</v>
      </c>
      <c r="G707" t="s">
        <v>1925</v>
      </c>
      <c r="H707" t="s">
        <v>3108</v>
      </c>
      <c r="J707" t="s">
        <v>4243</v>
      </c>
      <c r="K707">
        <v>11691</v>
      </c>
      <c r="L707" t="s">
        <v>4275</v>
      </c>
      <c r="M707" t="s">
        <v>4275</v>
      </c>
      <c r="O707" t="s">
        <v>4283</v>
      </c>
      <c r="P707" t="s">
        <v>4914</v>
      </c>
      <c r="Q707" t="s">
        <v>5746</v>
      </c>
      <c r="R707" t="s">
        <v>5757</v>
      </c>
      <c r="S707" t="s">
        <v>5758</v>
      </c>
      <c r="T707" t="s">
        <v>4276</v>
      </c>
      <c r="V707" t="s">
        <v>5767</v>
      </c>
      <c r="W707" t="s">
        <v>5772</v>
      </c>
      <c r="X707" t="s">
        <v>122</v>
      </c>
      <c r="Y707">
        <v>1184</v>
      </c>
      <c r="Z707" t="s">
        <v>5803</v>
      </c>
      <c r="AA707" t="s">
        <v>5807</v>
      </c>
      <c r="AB707" t="s">
        <v>5827</v>
      </c>
      <c r="AC707" t="s">
        <v>6479</v>
      </c>
      <c r="AD707" t="s">
        <v>7553</v>
      </c>
      <c r="AE707" t="s">
        <v>8471</v>
      </c>
      <c r="AF707">
        <v>284</v>
      </c>
      <c r="AG707" t="s">
        <v>9278</v>
      </c>
      <c r="AH707" t="s">
        <v>9282</v>
      </c>
      <c r="AI707">
        <v>2</v>
      </c>
      <c r="AJ707">
        <v>1</v>
      </c>
      <c r="AK707">
        <v>2</v>
      </c>
      <c r="AL707">
        <v>71.2</v>
      </c>
      <c r="AO707" t="s">
        <v>1425</v>
      </c>
      <c r="AP707">
        <v>14796</v>
      </c>
      <c r="AR707" t="s">
        <v>9334</v>
      </c>
      <c r="AS707" t="s">
        <v>5806</v>
      </c>
      <c r="AT707" t="s">
        <v>9369</v>
      </c>
      <c r="AU707" t="s">
        <v>9378</v>
      </c>
      <c r="AV707">
        <v>59.8</v>
      </c>
      <c r="AW707" t="s">
        <v>54</v>
      </c>
    </row>
    <row r="708" spans="1:49">
      <c r="A708" s="1">
        <f>HYPERLINK("https://cms.ls-nyc.org/matter/dynamic-profile/view/1879972","18-1879972")</f>
        <v>0</v>
      </c>
      <c r="B708" t="s">
        <v>66</v>
      </c>
      <c r="C708" t="s">
        <v>82</v>
      </c>
      <c r="D708" t="s">
        <v>92</v>
      </c>
      <c r="E708" t="s">
        <v>225</v>
      </c>
      <c r="F708" t="s">
        <v>858</v>
      </c>
      <c r="G708" t="s">
        <v>1926</v>
      </c>
      <c r="H708" t="s">
        <v>3109</v>
      </c>
      <c r="I708" t="s">
        <v>3902</v>
      </c>
      <c r="J708" t="s">
        <v>4234</v>
      </c>
      <c r="K708">
        <v>11101</v>
      </c>
      <c r="L708" t="s">
        <v>4275</v>
      </c>
      <c r="M708" t="s">
        <v>4275</v>
      </c>
      <c r="O708" t="s">
        <v>4284</v>
      </c>
      <c r="P708" t="s">
        <v>4808</v>
      </c>
      <c r="Q708" t="s">
        <v>4698</v>
      </c>
      <c r="R708" t="s">
        <v>5753</v>
      </c>
      <c r="S708" t="s">
        <v>5759</v>
      </c>
      <c r="T708" t="s">
        <v>4276</v>
      </c>
      <c r="V708" t="s">
        <v>5767</v>
      </c>
      <c r="W708" t="s">
        <v>5772</v>
      </c>
      <c r="X708" t="s">
        <v>225</v>
      </c>
      <c r="Y708">
        <v>0</v>
      </c>
      <c r="Z708" t="s">
        <v>5803</v>
      </c>
      <c r="AA708" t="s">
        <v>5815</v>
      </c>
      <c r="AB708" t="s">
        <v>5821</v>
      </c>
      <c r="AC708" t="s">
        <v>6480</v>
      </c>
      <c r="AE708" t="s">
        <v>8472</v>
      </c>
      <c r="AF708">
        <v>7</v>
      </c>
      <c r="AG708" t="s">
        <v>9270</v>
      </c>
      <c r="AH708" t="s">
        <v>4280</v>
      </c>
      <c r="AI708">
        <v>2</v>
      </c>
      <c r="AJ708">
        <v>1</v>
      </c>
      <c r="AK708">
        <v>0</v>
      </c>
      <c r="AL708">
        <v>75.81999999999999</v>
      </c>
      <c r="AM708" t="s">
        <v>9291</v>
      </c>
      <c r="AN708" t="s">
        <v>9295</v>
      </c>
      <c r="AO708" t="s">
        <v>1425</v>
      </c>
      <c r="AP708">
        <v>9204</v>
      </c>
      <c r="AV708">
        <v>4.07</v>
      </c>
      <c r="AW708" t="s">
        <v>54</v>
      </c>
    </row>
    <row r="709" spans="1:49">
      <c r="A709" s="1">
        <f>HYPERLINK("https://cms.ls-nyc.org/matter/dynamic-profile/view/1874885","18-1874885")</f>
        <v>0</v>
      </c>
      <c r="B709" t="s">
        <v>66</v>
      </c>
      <c r="C709" t="s">
        <v>82</v>
      </c>
      <c r="D709" t="s">
        <v>85</v>
      </c>
      <c r="E709" t="s">
        <v>287</v>
      </c>
      <c r="F709" t="s">
        <v>376</v>
      </c>
      <c r="G709" t="s">
        <v>1528</v>
      </c>
      <c r="H709" t="s">
        <v>3110</v>
      </c>
      <c r="J709" t="s">
        <v>4243</v>
      </c>
      <c r="K709">
        <v>11691</v>
      </c>
      <c r="L709" t="s">
        <v>4275</v>
      </c>
      <c r="M709" t="s">
        <v>4275</v>
      </c>
      <c r="O709" t="s">
        <v>4283</v>
      </c>
      <c r="P709" t="s">
        <v>4700</v>
      </c>
      <c r="Q709" t="s">
        <v>5737</v>
      </c>
      <c r="R709" t="s">
        <v>5753</v>
      </c>
      <c r="S709" t="s">
        <v>5759</v>
      </c>
      <c r="T709" t="s">
        <v>4276</v>
      </c>
      <c r="V709" t="s">
        <v>5767</v>
      </c>
      <c r="W709" t="s">
        <v>5772</v>
      </c>
      <c r="X709" t="s">
        <v>287</v>
      </c>
      <c r="Y709">
        <v>850</v>
      </c>
      <c r="Z709" t="s">
        <v>5803</v>
      </c>
      <c r="AA709" t="s">
        <v>5817</v>
      </c>
      <c r="AB709" t="s">
        <v>5821</v>
      </c>
      <c r="AC709" t="s">
        <v>5998</v>
      </c>
      <c r="AD709" t="s">
        <v>7554</v>
      </c>
      <c r="AE709" t="s">
        <v>8006</v>
      </c>
      <c r="AF709">
        <v>2</v>
      </c>
      <c r="AG709" t="s">
        <v>9269</v>
      </c>
      <c r="AH709" t="s">
        <v>4280</v>
      </c>
      <c r="AI709">
        <v>1</v>
      </c>
      <c r="AJ709">
        <v>1</v>
      </c>
      <c r="AK709">
        <v>0</v>
      </c>
      <c r="AL709">
        <v>197.69</v>
      </c>
      <c r="AO709" t="s">
        <v>1425</v>
      </c>
      <c r="AP709">
        <v>24000</v>
      </c>
      <c r="AV709">
        <v>1.9</v>
      </c>
      <c r="AW709" t="s">
        <v>9553</v>
      </c>
    </row>
    <row r="710" spans="1:49">
      <c r="A710" s="1">
        <f>HYPERLINK("https://cms.ls-nyc.org/matter/dynamic-profile/view/1894699","19-1894699")</f>
        <v>0</v>
      </c>
      <c r="B710" t="s">
        <v>67</v>
      </c>
      <c r="C710" t="s">
        <v>82</v>
      </c>
      <c r="D710" t="s">
        <v>200</v>
      </c>
      <c r="E710" t="s">
        <v>99</v>
      </c>
      <c r="F710" t="s">
        <v>656</v>
      </c>
      <c r="G710" t="s">
        <v>1927</v>
      </c>
      <c r="H710" t="s">
        <v>3111</v>
      </c>
      <c r="I710" t="s">
        <v>3908</v>
      </c>
      <c r="J710" t="s">
        <v>4254</v>
      </c>
      <c r="K710">
        <v>11692</v>
      </c>
      <c r="L710" t="s">
        <v>4275</v>
      </c>
      <c r="M710" t="s">
        <v>4275</v>
      </c>
      <c r="O710" t="s">
        <v>4283</v>
      </c>
      <c r="P710" t="s">
        <v>4915</v>
      </c>
      <c r="Q710" t="s">
        <v>5735</v>
      </c>
      <c r="R710" t="s">
        <v>5754</v>
      </c>
      <c r="S710" t="s">
        <v>5763</v>
      </c>
      <c r="T710" t="s">
        <v>4276</v>
      </c>
      <c r="V710" t="s">
        <v>5767</v>
      </c>
      <c r="W710" t="s">
        <v>5772</v>
      </c>
      <c r="X710" t="s">
        <v>200</v>
      </c>
      <c r="Y710">
        <v>1468</v>
      </c>
      <c r="Z710" t="s">
        <v>5803</v>
      </c>
      <c r="AA710" t="s">
        <v>5804</v>
      </c>
      <c r="AB710" t="s">
        <v>5826</v>
      </c>
      <c r="AC710" t="s">
        <v>6481</v>
      </c>
      <c r="AD710" t="s">
        <v>7555</v>
      </c>
      <c r="AE710" t="s">
        <v>8473</v>
      </c>
      <c r="AF710">
        <v>53</v>
      </c>
      <c r="AG710" t="s">
        <v>9278</v>
      </c>
      <c r="AH710" t="s">
        <v>4280</v>
      </c>
      <c r="AI710">
        <v>32</v>
      </c>
      <c r="AJ710">
        <v>1</v>
      </c>
      <c r="AK710">
        <v>0</v>
      </c>
      <c r="AL710">
        <v>0</v>
      </c>
      <c r="AO710" t="s">
        <v>1425</v>
      </c>
      <c r="AP710">
        <v>0</v>
      </c>
      <c r="AV710">
        <v>6.5</v>
      </c>
      <c r="AW710" t="s">
        <v>67</v>
      </c>
    </row>
    <row r="711" spans="1:49">
      <c r="A711" s="1">
        <f>HYPERLINK("https://cms.ls-nyc.org/matter/dynamic-profile/view/1874602","18-1874602")</f>
        <v>0</v>
      </c>
      <c r="B711" t="s">
        <v>67</v>
      </c>
      <c r="C711" t="s">
        <v>82</v>
      </c>
      <c r="D711" t="s">
        <v>103</v>
      </c>
      <c r="E711" t="s">
        <v>95</v>
      </c>
      <c r="F711" t="s">
        <v>656</v>
      </c>
      <c r="G711" t="s">
        <v>1927</v>
      </c>
      <c r="H711" t="s">
        <v>3111</v>
      </c>
      <c r="I711" t="s">
        <v>3908</v>
      </c>
      <c r="J711" t="s">
        <v>4254</v>
      </c>
      <c r="K711">
        <v>11692</v>
      </c>
      <c r="L711" t="s">
        <v>4275</v>
      </c>
      <c r="M711" t="s">
        <v>4275</v>
      </c>
      <c r="N711" t="s">
        <v>4278</v>
      </c>
      <c r="O711" t="s">
        <v>4283</v>
      </c>
      <c r="P711" t="s">
        <v>4916</v>
      </c>
      <c r="Q711" t="s">
        <v>5731</v>
      </c>
      <c r="R711" t="s">
        <v>5751</v>
      </c>
      <c r="S711" t="s">
        <v>5758</v>
      </c>
      <c r="T711" t="s">
        <v>4276</v>
      </c>
      <c r="V711" t="s">
        <v>5767</v>
      </c>
      <c r="W711" t="s">
        <v>5772</v>
      </c>
      <c r="X711" t="s">
        <v>103</v>
      </c>
      <c r="Y711">
        <v>1468</v>
      </c>
      <c r="Z711" t="s">
        <v>5803</v>
      </c>
      <c r="AA711" t="s">
        <v>5804</v>
      </c>
      <c r="AB711" t="s">
        <v>5820</v>
      </c>
      <c r="AC711" t="s">
        <v>6481</v>
      </c>
      <c r="AD711" t="s">
        <v>7555</v>
      </c>
      <c r="AE711" t="s">
        <v>8473</v>
      </c>
      <c r="AF711">
        <v>53</v>
      </c>
      <c r="AG711" t="s">
        <v>9278</v>
      </c>
      <c r="AH711" t="s">
        <v>9282</v>
      </c>
      <c r="AI711">
        <v>32</v>
      </c>
      <c r="AJ711">
        <v>2</v>
      </c>
      <c r="AK711">
        <v>0</v>
      </c>
      <c r="AL711">
        <v>0</v>
      </c>
      <c r="AO711" t="s">
        <v>1425</v>
      </c>
      <c r="AP711">
        <v>0</v>
      </c>
      <c r="AR711" t="s">
        <v>9328</v>
      </c>
      <c r="AS711" t="s">
        <v>9343</v>
      </c>
      <c r="AT711" t="s">
        <v>9369</v>
      </c>
      <c r="AU711" t="s">
        <v>9386</v>
      </c>
      <c r="AV711">
        <v>110</v>
      </c>
      <c r="AW711" t="s">
        <v>73</v>
      </c>
    </row>
    <row r="712" spans="1:49">
      <c r="A712" s="1">
        <f>HYPERLINK("https://cms.ls-nyc.org/matter/dynamic-profile/view/1899763","19-1899763")</f>
        <v>0</v>
      </c>
      <c r="B712" t="s">
        <v>67</v>
      </c>
      <c r="C712" t="s">
        <v>83</v>
      </c>
      <c r="D712" t="s">
        <v>230</v>
      </c>
      <c r="F712" t="s">
        <v>631</v>
      </c>
      <c r="G712" t="s">
        <v>1928</v>
      </c>
      <c r="H712" t="s">
        <v>3112</v>
      </c>
      <c r="I712" t="s">
        <v>3909</v>
      </c>
      <c r="J712" t="s">
        <v>4254</v>
      </c>
      <c r="K712">
        <v>11692</v>
      </c>
      <c r="L712" t="s">
        <v>4275</v>
      </c>
      <c r="M712" t="s">
        <v>4277</v>
      </c>
      <c r="N712" t="s">
        <v>4278</v>
      </c>
      <c r="O712" t="s">
        <v>4284</v>
      </c>
      <c r="P712" t="s">
        <v>4917</v>
      </c>
      <c r="Q712" t="s">
        <v>5731</v>
      </c>
      <c r="R712" t="s">
        <v>5751</v>
      </c>
      <c r="T712" t="s">
        <v>4276</v>
      </c>
      <c r="V712" t="s">
        <v>5767</v>
      </c>
      <c r="W712" t="s">
        <v>5772</v>
      </c>
      <c r="Y712">
        <v>2200</v>
      </c>
      <c r="Z712" t="s">
        <v>5803</v>
      </c>
      <c r="AA712" t="s">
        <v>5815</v>
      </c>
      <c r="AC712" t="s">
        <v>6482</v>
      </c>
      <c r="AE712" t="s">
        <v>8474</v>
      </c>
      <c r="AF712">
        <v>2</v>
      </c>
      <c r="AG712" t="s">
        <v>9269</v>
      </c>
      <c r="AI712">
        <v>-1</v>
      </c>
      <c r="AJ712">
        <v>1</v>
      </c>
      <c r="AK712">
        <v>4</v>
      </c>
      <c r="AL712">
        <v>0</v>
      </c>
      <c r="AO712" t="s">
        <v>1425</v>
      </c>
      <c r="AP712">
        <v>0</v>
      </c>
      <c r="AV712">
        <v>3.4</v>
      </c>
      <c r="AW712" t="s">
        <v>67</v>
      </c>
    </row>
    <row r="713" spans="1:49">
      <c r="A713" s="1">
        <f>HYPERLINK("https://cms.ls-nyc.org/matter/dynamic-profile/view/1885385","18-1885385")</f>
        <v>0</v>
      </c>
      <c r="B713" t="s">
        <v>67</v>
      </c>
      <c r="C713" t="s">
        <v>82</v>
      </c>
      <c r="D713" t="s">
        <v>185</v>
      </c>
      <c r="E713" t="s">
        <v>95</v>
      </c>
      <c r="F713" t="s">
        <v>450</v>
      </c>
      <c r="G713" t="s">
        <v>1502</v>
      </c>
      <c r="H713" t="s">
        <v>2613</v>
      </c>
      <c r="I713" t="s">
        <v>3913</v>
      </c>
      <c r="J713" t="s">
        <v>4243</v>
      </c>
      <c r="K713">
        <v>11691</v>
      </c>
      <c r="L713" t="s">
        <v>4275</v>
      </c>
      <c r="M713" t="s">
        <v>4275</v>
      </c>
      <c r="N713" t="s">
        <v>4278</v>
      </c>
      <c r="O713" t="s">
        <v>4283</v>
      </c>
      <c r="P713" t="s">
        <v>4918</v>
      </c>
      <c r="Q713" t="s">
        <v>5731</v>
      </c>
      <c r="R713" t="s">
        <v>5751</v>
      </c>
      <c r="S713" t="s">
        <v>5758</v>
      </c>
      <c r="T713" t="s">
        <v>4276</v>
      </c>
      <c r="V713" t="s">
        <v>5767</v>
      </c>
      <c r="W713" t="s">
        <v>5772</v>
      </c>
      <c r="X713" t="s">
        <v>185</v>
      </c>
      <c r="Y713">
        <v>1497</v>
      </c>
      <c r="Z713" t="s">
        <v>5803</v>
      </c>
      <c r="AA713" t="s">
        <v>5807</v>
      </c>
      <c r="AB713" t="s">
        <v>5820</v>
      </c>
      <c r="AC713" t="s">
        <v>5970</v>
      </c>
      <c r="AD713" t="s">
        <v>7342</v>
      </c>
      <c r="AE713" t="s">
        <v>7978</v>
      </c>
      <c r="AF713">
        <v>231</v>
      </c>
      <c r="AG713" t="s">
        <v>9273</v>
      </c>
      <c r="AH713" t="s">
        <v>9282</v>
      </c>
      <c r="AI713">
        <v>35</v>
      </c>
      <c r="AJ713">
        <v>1</v>
      </c>
      <c r="AK713">
        <v>3</v>
      </c>
      <c r="AL713">
        <v>0</v>
      </c>
      <c r="AO713" t="s">
        <v>1425</v>
      </c>
      <c r="AP713">
        <v>0</v>
      </c>
      <c r="AR713" t="s">
        <v>9327</v>
      </c>
      <c r="AS713" t="s">
        <v>9347</v>
      </c>
      <c r="AT713" t="s">
        <v>9369</v>
      </c>
      <c r="AU713" t="s">
        <v>9421</v>
      </c>
      <c r="AV713">
        <v>8.6</v>
      </c>
      <c r="AW713" t="s">
        <v>54</v>
      </c>
    </row>
    <row r="714" spans="1:49">
      <c r="A714" s="1">
        <f>HYPERLINK("https://cms.ls-nyc.org/matter/dynamic-profile/view/1890250","19-1890250")</f>
        <v>0</v>
      </c>
      <c r="B714" t="s">
        <v>67</v>
      </c>
      <c r="C714" t="s">
        <v>83</v>
      </c>
      <c r="D714" t="s">
        <v>127</v>
      </c>
      <c r="F714" t="s">
        <v>859</v>
      </c>
      <c r="G714" t="s">
        <v>1929</v>
      </c>
      <c r="H714" t="s">
        <v>3113</v>
      </c>
      <c r="J714" t="s">
        <v>4222</v>
      </c>
      <c r="K714">
        <v>11433</v>
      </c>
      <c r="L714" t="s">
        <v>4275</v>
      </c>
      <c r="M714" t="s">
        <v>4275</v>
      </c>
      <c r="N714" t="s">
        <v>4278</v>
      </c>
      <c r="O714" t="s">
        <v>4281</v>
      </c>
      <c r="P714" t="s">
        <v>4919</v>
      </c>
      <c r="Q714" t="s">
        <v>5732</v>
      </c>
      <c r="R714" t="s">
        <v>5751</v>
      </c>
      <c r="T714" t="s">
        <v>4276</v>
      </c>
      <c r="V714" t="s">
        <v>5767</v>
      </c>
      <c r="W714" t="s">
        <v>5772</v>
      </c>
      <c r="X714" t="s">
        <v>127</v>
      </c>
      <c r="Y714">
        <v>800</v>
      </c>
      <c r="Z714" t="s">
        <v>5803</v>
      </c>
      <c r="AA714" t="s">
        <v>5805</v>
      </c>
      <c r="AC714" t="s">
        <v>6483</v>
      </c>
      <c r="AE714" t="s">
        <v>8475</v>
      </c>
      <c r="AF714">
        <v>3</v>
      </c>
      <c r="AG714" t="s">
        <v>9269</v>
      </c>
      <c r="AH714" t="s">
        <v>4280</v>
      </c>
      <c r="AI714">
        <v>5</v>
      </c>
      <c r="AJ714">
        <v>1</v>
      </c>
      <c r="AK714">
        <v>0</v>
      </c>
      <c r="AL714">
        <v>0</v>
      </c>
      <c r="AO714" t="s">
        <v>1425</v>
      </c>
      <c r="AP714">
        <v>0</v>
      </c>
      <c r="AR714" t="s">
        <v>9327</v>
      </c>
      <c r="AS714" t="s">
        <v>5806</v>
      </c>
      <c r="AT714" t="s">
        <v>9372</v>
      </c>
      <c r="AU714" t="s">
        <v>9483</v>
      </c>
      <c r="AV714">
        <v>13.15</v>
      </c>
      <c r="AW714" t="s">
        <v>54</v>
      </c>
    </row>
    <row r="715" spans="1:49">
      <c r="A715" s="1">
        <f>HYPERLINK("https://cms.ls-nyc.org/matter/dynamic-profile/view/1895359","19-1895359")</f>
        <v>0</v>
      </c>
      <c r="B715" t="s">
        <v>67</v>
      </c>
      <c r="C715" t="s">
        <v>82</v>
      </c>
      <c r="D715" t="s">
        <v>238</v>
      </c>
      <c r="E715" t="s">
        <v>95</v>
      </c>
      <c r="F715" t="s">
        <v>860</v>
      </c>
      <c r="G715" t="s">
        <v>1930</v>
      </c>
      <c r="H715" t="s">
        <v>3114</v>
      </c>
      <c r="J715" t="s">
        <v>4223</v>
      </c>
      <c r="K715">
        <v>11423</v>
      </c>
      <c r="L715" t="s">
        <v>4275</v>
      </c>
      <c r="M715" t="s">
        <v>4275</v>
      </c>
      <c r="O715" t="s">
        <v>4282</v>
      </c>
      <c r="Q715" t="s">
        <v>5741</v>
      </c>
      <c r="R715" t="s">
        <v>5753</v>
      </c>
      <c r="S715" t="s">
        <v>5759</v>
      </c>
      <c r="T715" t="s">
        <v>4276</v>
      </c>
      <c r="V715" t="s">
        <v>5767</v>
      </c>
      <c r="W715" t="s">
        <v>5772</v>
      </c>
      <c r="X715" t="s">
        <v>238</v>
      </c>
      <c r="Y715">
        <v>1600</v>
      </c>
      <c r="Z715" t="s">
        <v>5803</v>
      </c>
      <c r="AA715" t="s">
        <v>5804</v>
      </c>
      <c r="AB715" t="s">
        <v>5821</v>
      </c>
      <c r="AC715" t="s">
        <v>6484</v>
      </c>
      <c r="AD715" t="s">
        <v>7556</v>
      </c>
      <c r="AE715" t="s">
        <v>8476</v>
      </c>
      <c r="AF715">
        <v>2</v>
      </c>
      <c r="AG715" t="s">
        <v>9269</v>
      </c>
      <c r="AH715" t="s">
        <v>4280</v>
      </c>
      <c r="AI715">
        <v>10</v>
      </c>
      <c r="AJ715">
        <v>1</v>
      </c>
      <c r="AK715">
        <v>0</v>
      </c>
      <c r="AL715">
        <v>0</v>
      </c>
      <c r="AO715" t="s">
        <v>1425</v>
      </c>
      <c r="AP715">
        <v>0</v>
      </c>
      <c r="AV715">
        <v>1.7</v>
      </c>
      <c r="AW715" t="s">
        <v>67</v>
      </c>
    </row>
    <row r="716" spans="1:49">
      <c r="A716" s="1">
        <f>HYPERLINK("https://cms.ls-nyc.org/matter/dynamic-profile/view/1898480","19-1898480")</f>
        <v>0</v>
      </c>
      <c r="B716" t="s">
        <v>67</v>
      </c>
      <c r="C716" t="s">
        <v>82</v>
      </c>
      <c r="D716" t="s">
        <v>129</v>
      </c>
      <c r="E716" t="s">
        <v>95</v>
      </c>
      <c r="F716" t="s">
        <v>861</v>
      </c>
      <c r="G716" t="s">
        <v>1931</v>
      </c>
      <c r="H716" t="s">
        <v>3115</v>
      </c>
      <c r="I716" t="s">
        <v>3909</v>
      </c>
      <c r="J716" t="s">
        <v>4223</v>
      </c>
      <c r="K716">
        <v>11423</v>
      </c>
      <c r="L716" t="s">
        <v>4275</v>
      </c>
      <c r="M716" t="s">
        <v>4275</v>
      </c>
      <c r="N716" t="s">
        <v>4278</v>
      </c>
      <c r="O716" t="s">
        <v>4284</v>
      </c>
      <c r="P716" t="s">
        <v>4915</v>
      </c>
      <c r="Q716" t="s">
        <v>4698</v>
      </c>
      <c r="R716" t="s">
        <v>5753</v>
      </c>
      <c r="S716" t="s">
        <v>5759</v>
      </c>
      <c r="T716" t="s">
        <v>4276</v>
      </c>
      <c r="V716" t="s">
        <v>5767</v>
      </c>
      <c r="W716" t="s">
        <v>5772</v>
      </c>
      <c r="X716" t="s">
        <v>129</v>
      </c>
      <c r="Y716">
        <v>1900</v>
      </c>
      <c r="Z716" t="s">
        <v>5803</v>
      </c>
      <c r="AA716" t="s">
        <v>5815</v>
      </c>
      <c r="AB716" t="s">
        <v>5821</v>
      </c>
      <c r="AC716" t="s">
        <v>6369</v>
      </c>
      <c r="AD716" t="s">
        <v>7289</v>
      </c>
      <c r="AE716" t="s">
        <v>7289</v>
      </c>
      <c r="AF716">
        <v>2</v>
      </c>
      <c r="AG716" t="s">
        <v>9269</v>
      </c>
      <c r="AH716" t="s">
        <v>4280</v>
      </c>
      <c r="AI716">
        <v>1</v>
      </c>
      <c r="AJ716">
        <v>1</v>
      </c>
      <c r="AK716">
        <v>1</v>
      </c>
      <c r="AL716">
        <v>0</v>
      </c>
      <c r="AM716" t="s">
        <v>9291</v>
      </c>
      <c r="AN716" t="s">
        <v>9295</v>
      </c>
      <c r="AO716" t="s">
        <v>9301</v>
      </c>
      <c r="AP716">
        <v>0</v>
      </c>
      <c r="AV716">
        <v>1.3</v>
      </c>
      <c r="AW716" t="s">
        <v>67</v>
      </c>
    </row>
    <row r="717" spans="1:49">
      <c r="A717" s="1">
        <f>HYPERLINK("https://cms.ls-nyc.org/matter/dynamic-profile/view/1881948","18-1881948")</f>
        <v>0</v>
      </c>
      <c r="B717" t="s">
        <v>67</v>
      </c>
      <c r="C717" t="s">
        <v>82</v>
      </c>
      <c r="D717" t="s">
        <v>170</v>
      </c>
      <c r="E717" t="s">
        <v>268</v>
      </c>
      <c r="F717" t="s">
        <v>862</v>
      </c>
      <c r="G717" t="s">
        <v>1932</v>
      </c>
      <c r="H717" t="s">
        <v>3116</v>
      </c>
      <c r="I717" t="s">
        <v>3878</v>
      </c>
      <c r="J717" t="s">
        <v>4235</v>
      </c>
      <c r="K717">
        <v>11421</v>
      </c>
      <c r="L717" t="s">
        <v>4275</v>
      </c>
      <c r="M717" t="s">
        <v>4275</v>
      </c>
      <c r="O717" t="s">
        <v>4283</v>
      </c>
      <c r="P717" t="s">
        <v>4920</v>
      </c>
      <c r="Q717" t="s">
        <v>5732</v>
      </c>
      <c r="R717" t="s">
        <v>5753</v>
      </c>
      <c r="S717" t="s">
        <v>5759</v>
      </c>
      <c r="T717" t="s">
        <v>4276</v>
      </c>
      <c r="V717" t="s">
        <v>5767</v>
      </c>
      <c r="W717" t="s">
        <v>5772</v>
      </c>
      <c r="X717" t="s">
        <v>170</v>
      </c>
      <c r="Y717">
        <v>950</v>
      </c>
      <c r="Z717" t="s">
        <v>5803</v>
      </c>
      <c r="AA717" t="s">
        <v>5804</v>
      </c>
      <c r="AB717" t="s">
        <v>5821</v>
      </c>
      <c r="AC717" t="s">
        <v>6485</v>
      </c>
      <c r="AE717" t="s">
        <v>8477</v>
      </c>
      <c r="AF717">
        <v>2</v>
      </c>
      <c r="AG717" t="s">
        <v>9269</v>
      </c>
      <c r="AH717" t="s">
        <v>4280</v>
      </c>
      <c r="AI717">
        <v>1</v>
      </c>
      <c r="AJ717">
        <v>1</v>
      </c>
      <c r="AK717">
        <v>0</v>
      </c>
      <c r="AL717">
        <v>0</v>
      </c>
      <c r="AO717" t="s">
        <v>1425</v>
      </c>
      <c r="AP717">
        <v>0</v>
      </c>
      <c r="AV717">
        <v>1.7</v>
      </c>
      <c r="AW717" t="s">
        <v>73</v>
      </c>
    </row>
    <row r="718" spans="1:49">
      <c r="A718" s="1">
        <f>HYPERLINK("https://cms.ls-nyc.org/matter/dynamic-profile/view/1889305","19-1889305")</f>
        <v>0</v>
      </c>
      <c r="B718" t="s">
        <v>67</v>
      </c>
      <c r="C718" t="s">
        <v>82</v>
      </c>
      <c r="D718" t="s">
        <v>119</v>
      </c>
      <c r="E718" t="s">
        <v>291</v>
      </c>
      <c r="F718" t="s">
        <v>863</v>
      </c>
      <c r="G718" t="s">
        <v>1933</v>
      </c>
      <c r="H718" t="s">
        <v>3117</v>
      </c>
      <c r="I718" t="s">
        <v>3866</v>
      </c>
      <c r="J718" t="s">
        <v>4231</v>
      </c>
      <c r="K718">
        <v>11419</v>
      </c>
      <c r="L718" t="s">
        <v>4275</v>
      </c>
      <c r="M718" t="s">
        <v>4275</v>
      </c>
      <c r="O718" t="s">
        <v>4283</v>
      </c>
      <c r="P718" t="s">
        <v>4921</v>
      </c>
      <c r="Q718" t="s">
        <v>5731</v>
      </c>
      <c r="R718" t="s">
        <v>5753</v>
      </c>
      <c r="S718" t="s">
        <v>5759</v>
      </c>
      <c r="T718" t="s">
        <v>4276</v>
      </c>
      <c r="V718" t="s">
        <v>5767</v>
      </c>
      <c r="W718" t="s">
        <v>5772</v>
      </c>
      <c r="X718" t="s">
        <v>119</v>
      </c>
      <c r="Y718">
        <v>2300</v>
      </c>
      <c r="Z718" t="s">
        <v>5803</v>
      </c>
      <c r="AA718" t="s">
        <v>5804</v>
      </c>
      <c r="AB718" t="s">
        <v>5821</v>
      </c>
      <c r="AC718" t="s">
        <v>6486</v>
      </c>
      <c r="AE718" t="s">
        <v>8478</v>
      </c>
      <c r="AF718">
        <v>3</v>
      </c>
      <c r="AG718" t="s">
        <v>9269</v>
      </c>
      <c r="AH718" t="s">
        <v>4280</v>
      </c>
      <c r="AI718">
        <v>-1</v>
      </c>
      <c r="AJ718">
        <v>1</v>
      </c>
      <c r="AK718">
        <v>0</v>
      </c>
      <c r="AL718">
        <v>0</v>
      </c>
      <c r="AO718" t="s">
        <v>1425</v>
      </c>
      <c r="AP718">
        <v>0</v>
      </c>
      <c r="AV718">
        <v>1.5</v>
      </c>
      <c r="AW718" t="s">
        <v>54</v>
      </c>
    </row>
    <row r="719" spans="1:49">
      <c r="A719" s="1">
        <f>HYPERLINK("https://cms.ls-nyc.org/matter/dynamic-profile/view/1895654","19-1895654")</f>
        <v>0</v>
      </c>
      <c r="B719" t="s">
        <v>67</v>
      </c>
      <c r="C719" t="s">
        <v>82</v>
      </c>
      <c r="D719" t="s">
        <v>206</v>
      </c>
      <c r="E719" t="s">
        <v>95</v>
      </c>
      <c r="F719" t="s">
        <v>864</v>
      </c>
      <c r="G719" t="s">
        <v>1934</v>
      </c>
      <c r="H719" t="s">
        <v>3118</v>
      </c>
      <c r="I719" t="s">
        <v>3863</v>
      </c>
      <c r="J719" t="s">
        <v>4251</v>
      </c>
      <c r="K719">
        <v>11377</v>
      </c>
      <c r="L719" t="s">
        <v>4275</v>
      </c>
      <c r="M719" t="s">
        <v>4275</v>
      </c>
      <c r="O719" t="s">
        <v>4284</v>
      </c>
      <c r="P719" t="s">
        <v>4280</v>
      </c>
      <c r="Q719" t="s">
        <v>4698</v>
      </c>
      <c r="R719" t="s">
        <v>5753</v>
      </c>
      <c r="S719" t="s">
        <v>5759</v>
      </c>
      <c r="T719" t="s">
        <v>4276</v>
      </c>
      <c r="V719" t="s">
        <v>5767</v>
      </c>
      <c r="W719" t="s">
        <v>5772</v>
      </c>
      <c r="X719" t="s">
        <v>206</v>
      </c>
      <c r="Y719">
        <v>1470</v>
      </c>
      <c r="Z719" t="s">
        <v>5803</v>
      </c>
      <c r="AA719" t="s">
        <v>5815</v>
      </c>
      <c r="AB719" t="s">
        <v>5821</v>
      </c>
      <c r="AC719" t="s">
        <v>6487</v>
      </c>
      <c r="AD719" t="s">
        <v>4280</v>
      </c>
      <c r="AE719" t="s">
        <v>7289</v>
      </c>
      <c r="AF719">
        <v>6</v>
      </c>
      <c r="AG719" t="s">
        <v>9272</v>
      </c>
      <c r="AH719" t="s">
        <v>4280</v>
      </c>
      <c r="AI719">
        <v>10</v>
      </c>
      <c r="AJ719">
        <v>1</v>
      </c>
      <c r="AK719">
        <v>3</v>
      </c>
      <c r="AL719">
        <v>0</v>
      </c>
      <c r="AM719" t="s">
        <v>9291</v>
      </c>
      <c r="AN719" t="s">
        <v>9295</v>
      </c>
      <c r="AO719" t="s">
        <v>9298</v>
      </c>
      <c r="AP719">
        <v>0</v>
      </c>
      <c r="AV719">
        <v>1.05</v>
      </c>
      <c r="AW719" t="s">
        <v>67</v>
      </c>
    </row>
    <row r="720" spans="1:49">
      <c r="A720" s="1">
        <f>HYPERLINK("https://cms.ls-nyc.org/matter/dynamic-profile/view/1887322","19-1887322")</f>
        <v>0</v>
      </c>
      <c r="B720" t="s">
        <v>67</v>
      </c>
      <c r="C720" t="s">
        <v>82</v>
      </c>
      <c r="D720" t="s">
        <v>183</v>
      </c>
      <c r="E720" t="s">
        <v>281</v>
      </c>
      <c r="F720" t="s">
        <v>865</v>
      </c>
      <c r="G720" t="s">
        <v>1935</v>
      </c>
      <c r="H720" t="s">
        <v>3119</v>
      </c>
      <c r="I720" t="s">
        <v>4066</v>
      </c>
      <c r="J720" t="s">
        <v>4241</v>
      </c>
      <c r="K720">
        <v>11368</v>
      </c>
      <c r="L720" t="s">
        <v>4275</v>
      </c>
      <c r="M720" t="s">
        <v>4275</v>
      </c>
      <c r="O720" t="s">
        <v>4284</v>
      </c>
      <c r="P720" t="s">
        <v>4698</v>
      </c>
      <c r="Q720" t="s">
        <v>4698</v>
      </c>
      <c r="R720" t="s">
        <v>5753</v>
      </c>
      <c r="S720" t="s">
        <v>5759</v>
      </c>
      <c r="T720" t="s">
        <v>4276</v>
      </c>
      <c r="V720" t="s">
        <v>5767</v>
      </c>
      <c r="W720" t="s">
        <v>5772</v>
      </c>
      <c r="X720" t="s">
        <v>183</v>
      </c>
      <c r="Y720">
        <v>2300</v>
      </c>
      <c r="Z720" t="s">
        <v>5803</v>
      </c>
      <c r="AA720" t="s">
        <v>5815</v>
      </c>
      <c r="AB720" t="s">
        <v>5821</v>
      </c>
      <c r="AC720" t="s">
        <v>6488</v>
      </c>
      <c r="AD720" t="s">
        <v>4280</v>
      </c>
      <c r="AE720" t="s">
        <v>7289</v>
      </c>
      <c r="AF720">
        <v>4</v>
      </c>
      <c r="AG720" t="s">
        <v>9272</v>
      </c>
      <c r="AH720" t="s">
        <v>4280</v>
      </c>
      <c r="AI720">
        <v>1</v>
      </c>
      <c r="AJ720">
        <v>2</v>
      </c>
      <c r="AK720">
        <v>3</v>
      </c>
      <c r="AL720">
        <v>0</v>
      </c>
      <c r="AM720" t="s">
        <v>9291</v>
      </c>
      <c r="AN720" t="s">
        <v>9295</v>
      </c>
      <c r="AO720" t="s">
        <v>9298</v>
      </c>
      <c r="AP720">
        <v>0</v>
      </c>
      <c r="AV720">
        <v>1.8</v>
      </c>
      <c r="AW720" t="s">
        <v>67</v>
      </c>
    </row>
    <row r="721" spans="1:49">
      <c r="A721" s="1">
        <f>HYPERLINK("https://cms.ls-nyc.org/matter/dynamic-profile/view/1875677","18-1875677")</f>
        <v>0</v>
      </c>
      <c r="B721" t="s">
        <v>67</v>
      </c>
      <c r="C721" t="s">
        <v>82</v>
      </c>
      <c r="D721" t="s">
        <v>122</v>
      </c>
      <c r="E721" t="s">
        <v>259</v>
      </c>
      <c r="F721" t="s">
        <v>866</v>
      </c>
      <c r="G721" t="s">
        <v>1936</v>
      </c>
      <c r="H721" t="s">
        <v>3120</v>
      </c>
      <c r="I721" t="s">
        <v>3866</v>
      </c>
      <c r="J721" t="s">
        <v>4261</v>
      </c>
      <c r="K721">
        <v>11361</v>
      </c>
      <c r="L721" t="s">
        <v>4275</v>
      </c>
      <c r="M721" t="s">
        <v>4275</v>
      </c>
      <c r="O721" t="s">
        <v>4283</v>
      </c>
      <c r="P721" t="s">
        <v>4922</v>
      </c>
      <c r="Q721" t="s">
        <v>5731</v>
      </c>
      <c r="R721" t="s">
        <v>5753</v>
      </c>
      <c r="S721" t="s">
        <v>5759</v>
      </c>
      <c r="T721" t="s">
        <v>4276</v>
      </c>
      <c r="V721" t="s">
        <v>5767</v>
      </c>
      <c r="W721" t="s">
        <v>5771</v>
      </c>
      <c r="X721" t="s">
        <v>122</v>
      </c>
      <c r="Y721">
        <v>2200</v>
      </c>
      <c r="Z721" t="s">
        <v>5803</v>
      </c>
      <c r="AA721" t="s">
        <v>5804</v>
      </c>
      <c r="AB721" t="s">
        <v>5821</v>
      </c>
      <c r="AC721" t="s">
        <v>6489</v>
      </c>
      <c r="AD721" t="s">
        <v>4280</v>
      </c>
      <c r="AE721" t="s">
        <v>8479</v>
      </c>
      <c r="AF721">
        <v>2</v>
      </c>
      <c r="AG721" t="s">
        <v>9269</v>
      </c>
      <c r="AH721" t="s">
        <v>4280</v>
      </c>
      <c r="AI721">
        <v>2</v>
      </c>
      <c r="AJ721">
        <v>3</v>
      </c>
      <c r="AK721">
        <v>2</v>
      </c>
      <c r="AL721">
        <v>0</v>
      </c>
      <c r="AO721" t="s">
        <v>1425</v>
      </c>
      <c r="AP721">
        <v>0</v>
      </c>
      <c r="AV721">
        <v>0.9</v>
      </c>
      <c r="AW721" t="s">
        <v>54</v>
      </c>
    </row>
    <row r="722" spans="1:49">
      <c r="A722" s="1">
        <f>HYPERLINK("https://cms.ls-nyc.org/matter/dynamic-profile/view/1887079","19-1887079")</f>
        <v>0</v>
      </c>
      <c r="B722" t="s">
        <v>67</v>
      </c>
      <c r="C722" t="s">
        <v>82</v>
      </c>
      <c r="D722" t="s">
        <v>249</v>
      </c>
      <c r="E722" t="s">
        <v>281</v>
      </c>
      <c r="F722" t="s">
        <v>867</v>
      </c>
      <c r="G722" t="s">
        <v>1937</v>
      </c>
      <c r="H722" t="s">
        <v>3121</v>
      </c>
      <c r="I722" t="s">
        <v>3959</v>
      </c>
      <c r="J722" t="s">
        <v>4229</v>
      </c>
      <c r="K722">
        <v>11355</v>
      </c>
      <c r="L722" t="s">
        <v>4275</v>
      </c>
      <c r="M722" t="s">
        <v>4275</v>
      </c>
      <c r="O722" t="s">
        <v>4283</v>
      </c>
      <c r="P722" t="s">
        <v>4923</v>
      </c>
      <c r="Q722" t="s">
        <v>5732</v>
      </c>
      <c r="R722" t="s">
        <v>5753</v>
      </c>
      <c r="S722" t="s">
        <v>5759</v>
      </c>
      <c r="T722" t="s">
        <v>4276</v>
      </c>
      <c r="V722" t="s">
        <v>5767</v>
      </c>
      <c r="W722" t="s">
        <v>5772</v>
      </c>
      <c r="X722" t="s">
        <v>249</v>
      </c>
      <c r="Y722">
        <v>1350</v>
      </c>
      <c r="Z722" t="s">
        <v>5803</v>
      </c>
      <c r="AA722" t="s">
        <v>5811</v>
      </c>
      <c r="AB722" t="s">
        <v>5821</v>
      </c>
      <c r="AC722" t="s">
        <v>6490</v>
      </c>
      <c r="AE722" t="s">
        <v>8480</v>
      </c>
      <c r="AF722">
        <v>97</v>
      </c>
      <c r="AG722" t="s">
        <v>9275</v>
      </c>
      <c r="AH722" t="s">
        <v>4280</v>
      </c>
      <c r="AI722">
        <v>1</v>
      </c>
      <c r="AJ722">
        <v>3</v>
      </c>
      <c r="AK722">
        <v>0</v>
      </c>
      <c r="AL722">
        <v>0</v>
      </c>
      <c r="AO722" t="s">
        <v>9304</v>
      </c>
      <c r="AP722">
        <v>0</v>
      </c>
      <c r="AV722">
        <v>3.85</v>
      </c>
      <c r="AW722" t="s">
        <v>67</v>
      </c>
    </row>
    <row r="723" spans="1:49">
      <c r="A723" s="1">
        <f>HYPERLINK("https://cms.ls-nyc.org/matter/dynamic-profile/view/1888371","19-1888371")</f>
        <v>0</v>
      </c>
      <c r="B723" t="s">
        <v>67</v>
      </c>
      <c r="C723" t="s">
        <v>82</v>
      </c>
      <c r="D723" t="s">
        <v>135</v>
      </c>
      <c r="E723" t="s">
        <v>239</v>
      </c>
      <c r="F723" t="s">
        <v>868</v>
      </c>
      <c r="G723" t="s">
        <v>1938</v>
      </c>
      <c r="H723" t="s">
        <v>3122</v>
      </c>
      <c r="I723" t="s">
        <v>3867</v>
      </c>
      <c r="J723" t="s">
        <v>4229</v>
      </c>
      <c r="K723">
        <v>11355</v>
      </c>
      <c r="L723" t="s">
        <v>4275</v>
      </c>
      <c r="M723" t="s">
        <v>4275</v>
      </c>
      <c r="O723" t="s">
        <v>4282</v>
      </c>
      <c r="P723" t="s">
        <v>4924</v>
      </c>
      <c r="Q723" t="s">
        <v>5732</v>
      </c>
      <c r="R723" t="s">
        <v>5753</v>
      </c>
      <c r="S723" t="s">
        <v>5759</v>
      </c>
      <c r="T723" t="s">
        <v>4276</v>
      </c>
      <c r="V723" t="s">
        <v>5767</v>
      </c>
      <c r="W723" t="s">
        <v>5772</v>
      </c>
      <c r="X723" t="s">
        <v>135</v>
      </c>
      <c r="Y723">
        <v>500</v>
      </c>
      <c r="Z723" t="s">
        <v>5803</v>
      </c>
      <c r="AA723" t="s">
        <v>5804</v>
      </c>
      <c r="AB723" t="s">
        <v>5821</v>
      </c>
      <c r="AC723" t="s">
        <v>6491</v>
      </c>
      <c r="AE723" t="s">
        <v>8481</v>
      </c>
      <c r="AF723">
        <v>1</v>
      </c>
      <c r="AG723" t="s">
        <v>9269</v>
      </c>
      <c r="AH723" t="s">
        <v>4280</v>
      </c>
      <c r="AI723">
        <v>2</v>
      </c>
      <c r="AJ723">
        <v>1</v>
      </c>
      <c r="AK723">
        <v>0</v>
      </c>
      <c r="AL723">
        <v>0</v>
      </c>
      <c r="AO723" t="s">
        <v>9304</v>
      </c>
      <c r="AP723">
        <v>0</v>
      </c>
      <c r="AV723">
        <v>1.3</v>
      </c>
      <c r="AW723" t="s">
        <v>54</v>
      </c>
    </row>
    <row r="724" spans="1:49">
      <c r="A724" s="1">
        <f>HYPERLINK("https://cms.ls-nyc.org/matter/dynamic-profile/view/1877054","18-1877054")</f>
        <v>0</v>
      </c>
      <c r="B724" t="s">
        <v>67</v>
      </c>
      <c r="C724" t="s">
        <v>82</v>
      </c>
      <c r="D724" t="s">
        <v>199</v>
      </c>
      <c r="E724" t="s">
        <v>307</v>
      </c>
      <c r="F724" t="s">
        <v>869</v>
      </c>
      <c r="G724" t="s">
        <v>1939</v>
      </c>
      <c r="H724" t="s">
        <v>3123</v>
      </c>
      <c r="I724" t="s">
        <v>3863</v>
      </c>
      <c r="J724" t="s">
        <v>4229</v>
      </c>
      <c r="K724">
        <v>11355</v>
      </c>
      <c r="L724" t="s">
        <v>4275</v>
      </c>
      <c r="M724" t="s">
        <v>4275</v>
      </c>
      <c r="O724" t="s">
        <v>4283</v>
      </c>
      <c r="P724" t="s">
        <v>4925</v>
      </c>
      <c r="Q724" t="s">
        <v>5733</v>
      </c>
      <c r="R724" t="s">
        <v>5753</v>
      </c>
      <c r="S724" t="s">
        <v>5759</v>
      </c>
      <c r="T724" t="s">
        <v>4276</v>
      </c>
      <c r="V724" t="s">
        <v>5767</v>
      </c>
      <c r="W724" t="s">
        <v>5772</v>
      </c>
      <c r="X724" t="s">
        <v>252</v>
      </c>
      <c r="Y724">
        <v>450</v>
      </c>
      <c r="Z724" t="s">
        <v>5803</v>
      </c>
      <c r="AA724" t="s">
        <v>5811</v>
      </c>
      <c r="AB724" t="s">
        <v>5821</v>
      </c>
      <c r="AC724" t="s">
        <v>6492</v>
      </c>
      <c r="AE724" t="s">
        <v>8482</v>
      </c>
      <c r="AF724">
        <v>7</v>
      </c>
      <c r="AG724" t="s">
        <v>9269</v>
      </c>
      <c r="AH724" t="s">
        <v>4280</v>
      </c>
      <c r="AI724">
        <v>4</v>
      </c>
      <c r="AJ724">
        <v>1</v>
      </c>
      <c r="AK724">
        <v>0</v>
      </c>
      <c r="AL724">
        <v>0</v>
      </c>
      <c r="AO724" t="s">
        <v>9304</v>
      </c>
      <c r="AP724">
        <v>0</v>
      </c>
      <c r="AV724">
        <v>1.6</v>
      </c>
      <c r="AW724" t="s">
        <v>67</v>
      </c>
    </row>
    <row r="725" spans="1:49">
      <c r="A725" s="1">
        <f>HYPERLINK("https://cms.ls-nyc.org/matter/dynamic-profile/view/1889588","19-1889588")</f>
        <v>0</v>
      </c>
      <c r="B725" t="s">
        <v>67</v>
      </c>
      <c r="C725" t="s">
        <v>82</v>
      </c>
      <c r="D725" t="s">
        <v>171</v>
      </c>
      <c r="E725" t="s">
        <v>95</v>
      </c>
      <c r="F725" t="s">
        <v>541</v>
      </c>
      <c r="G725" t="s">
        <v>1940</v>
      </c>
      <c r="H725" t="s">
        <v>3124</v>
      </c>
      <c r="I725" t="s">
        <v>3952</v>
      </c>
      <c r="J725" t="s">
        <v>4229</v>
      </c>
      <c r="K725">
        <v>11354</v>
      </c>
      <c r="L725" t="s">
        <v>4277</v>
      </c>
      <c r="M725" t="s">
        <v>4277</v>
      </c>
      <c r="O725" t="s">
        <v>4283</v>
      </c>
      <c r="P725" t="s">
        <v>4915</v>
      </c>
      <c r="Q725" t="s">
        <v>4698</v>
      </c>
      <c r="R725" t="s">
        <v>5753</v>
      </c>
      <c r="S725" t="s">
        <v>5759</v>
      </c>
      <c r="T725" t="s">
        <v>4276</v>
      </c>
      <c r="V725" t="s">
        <v>5767</v>
      </c>
      <c r="W725" t="s">
        <v>5772</v>
      </c>
      <c r="Y725">
        <v>0</v>
      </c>
      <c r="Z725" t="s">
        <v>5803</v>
      </c>
      <c r="AA725" t="s">
        <v>5818</v>
      </c>
      <c r="AB725" t="s">
        <v>5821</v>
      </c>
      <c r="AC725" t="s">
        <v>6493</v>
      </c>
      <c r="AD725" t="s">
        <v>4280</v>
      </c>
      <c r="AE725" t="s">
        <v>8483</v>
      </c>
      <c r="AF725">
        <v>2</v>
      </c>
      <c r="AG725" t="s">
        <v>9269</v>
      </c>
      <c r="AH725" t="s">
        <v>4280</v>
      </c>
      <c r="AI725">
        <v>1</v>
      </c>
      <c r="AJ725">
        <v>2</v>
      </c>
      <c r="AK725">
        <v>1</v>
      </c>
      <c r="AL725">
        <v>0</v>
      </c>
      <c r="AO725" t="s">
        <v>1425</v>
      </c>
      <c r="AP725">
        <v>0</v>
      </c>
      <c r="AV725">
        <v>1.9</v>
      </c>
      <c r="AW725" t="s">
        <v>9551</v>
      </c>
    </row>
    <row r="726" spans="1:49">
      <c r="A726" s="1">
        <f>HYPERLINK("https://cms.ls-nyc.org/matter/dynamic-profile/view/1874841","18-1874841")</f>
        <v>0</v>
      </c>
      <c r="B726" t="s">
        <v>67</v>
      </c>
      <c r="C726" t="s">
        <v>82</v>
      </c>
      <c r="D726" t="s">
        <v>85</v>
      </c>
      <c r="E726" t="s">
        <v>276</v>
      </c>
      <c r="F726" t="s">
        <v>870</v>
      </c>
      <c r="G726" t="s">
        <v>1941</v>
      </c>
      <c r="H726" t="s">
        <v>2614</v>
      </c>
      <c r="I726" t="s">
        <v>4044</v>
      </c>
      <c r="J726" t="s">
        <v>4229</v>
      </c>
      <c r="K726">
        <v>11354</v>
      </c>
      <c r="L726" t="s">
        <v>4275</v>
      </c>
      <c r="M726" t="s">
        <v>4275</v>
      </c>
      <c r="O726" t="s">
        <v>4283</v>
      </c>
      <c r="P726" t="s">
        <v>4926</v>
      </c>
      <c r="Q726" t="s">
        <v>5731</v>
      </c>
      <c r="R726" t="s">
        <v>5751</v>
      </c>
      <c r="S726" t="s">
        <v>5758</v>
      </c>
      <c r="T726" t="s">
        <v>4276</v>
      </c>
      <c r="V726" t="s">
        <v>5767</v>
      </c>
      <c r="W726" t="s">
        <v>5772</v>
      </c>
      <c r="X726" t="s">
        <v>118</v>
      </c>
      <c r="Y726">
        <v>2278.13</v>
      </c>
      <c r="Z726" t="s">
        <v>5803</v>
      </c>
      <c r="AA726" t="s">
        <v>5808</v>
      </c>
      <c r="AB726" t="s">
        <v>5820</v>
      </c>
      <c r="AC726" t="s">
        <v>6442</v>
      </c>
      <c r="AE726" t="s">
        <v>8484</v>
      </c>
      <c r="AF726">
        <v>60</v>
      </c>
      <c r="AG726" t="s">
        <v>9272</v>
      </c>
      <c r="AH726" t="s">
        <v>4280</v>
      </c>
      <c r="AI726">
        <v>2</v>
      </c>
      <c r="AJ726">
        <v>1</v>
      </c>
      <c r="AK726">
        <v>0</v>
      </c>
      <c r="AL726">
        <v>0</v>
      </c>
      <c r="AO726" t="s">
        <v>1425</v>
      </c>
      <c r="AP726">
        <v>0</v>
      </c>
      <c r="AR726" t="s">
        <v>9327</v>
      </c>
      <c r="AS726" t="s">
        <v>9336</v>
      </c>
      <c r="AT726" t="s">
        <v>9369</v>
      </c>
      <c r="AU726" t="s">
        <v>9484</v>
      </c>
      <c r="AV726">
        <v>7.45</v>
      </c>
      <c r="AW726" t="s">
        <v>9555</v>
      </c>
    </row>
    <row r="727" spans="1:49">
      <c r="A727" s="1">
        <f>HYPERLINK("https://cms.ls-nyc.org/matter/dynamic-profile/view/1888625","19-1888625")</f>
        <v>0</v>
      </c>
      <c r="B727" t="s">
        <v>67</v>
      </c>
      <c r="C727" t="s">
        <v>82</v>
      </c>
      <c r="D727" t="s">
        <v>125</v>
      </c>
      <c r="E727" t="s">
        <v>239</v>
      </c>
      <c r="F727" t="s">
        <v>871</v>
      </c>
      <c r="G727" t="s">
        <v>1942</v>
      </c>
      <c r="H727" t="s">
        <v>3125</v>
      </c>
      <c r="I727" t="s">
        <v>3869</v>
      </c>
      <c r="J727" t="s">
        <v>4234</v>
      </c>
      <c r="K727">
        <v>11102</v>
      </c>
      <c r="L727" t="s">
        <v>4275</v>
      </c>
      <c r="M727" t="s">
        <v>4275</v>
      </c>
      <c r="O727" t="s">
        <v>4284</v>
      </c>
      <c r="P727" t="s">
        <v>4280</v>
      </c>
      <c r="Q727" t="s">
        <v>4698</v>
      </c>
      <c r="R727" t="s">
        <v>5753</v>
      </c>
      <c r="S727" t="s">
        <v>5759</v>
      </c>
      <c r="T727" t="s">
        <v>4276</v>
      </c>
      <c r="V727" t="s">
        <v>5767</v>
      </c>
      <c r="W727" t="s">
        <v>5772</v>
      </c>
      <c r="X727" t="s">
        <v>125</v>
      </c>
      <c r="Y727">
        <v>2227.5</v>
      </c>
      <c r="Z727" t="s">
        <v>5803</v>
      </c>
      <c r="AA727" t="s">
        <v>5815</v>
      </c>
      <c r="AB727" t="s">
        <v>5821</v>
      </c>
      <c r="AC727" t="s">
        <v>6494</v>
      </c>
      <c r="AE727" t="s">
        <v>8485</v>
      </c>
      <c r="AF727">
        <v>60</v>
      </c>
      <c r="AG727" t="s">
        <v>9272</v>
      </c>
      <c r="AH727" t="s">
        <v>4280</v>
      </c>
      <c r="AI727">
        <v>2</v>
      </c>
      <c r="AJ727">
        <v>1</v>
      </c>
      <c r="AK727">
        <v>4</v>
      </c>
      <c r="AL727">
        <v>0</v>
      </c>
      <c r="AM727" t="s">
        <v>9291</v>
      </c>
      <c r="AN727" t="s">
        <v>9295</v>
      </c>
      <c r="AO727" t="s">
        <v>1425</v>
      </c>
      <c r="AP727">
        <v>0</v>
      </c>
      <c r="AV727">
        <v>1.4</v>
      </c>
      <c r="AW727" t="s">
        <v>67</v>
      </c>
    </row>
    <row r="728" spans="1:49">
      <c r="A728" s="1">
        <f>HYPERLINK("https://cms.ls-nyc.org/matter/dynamic-profile/view/1900499","19-1900499")</f>
        <v>0</v>
      </c>
      <c r="B728" t="s">
        <v>67</v>
      </c>
      <c r="C728" t="s">
        <v>83</v>
      </c>
      <c r="D728" t="s">
        <v>232</v>
      </c>
      <c r="F728" t="s">
        <v>556</v>
      </c>
      <c r="G728" t="s">
        <v>1229</v>
      </c>
      <c r="H728" t="s">
        <v>3126</v>
      </c>
      <c r="I728" t="s">
        <v>4067</v>
      </c>
      <c r="J728" t="s">
        <v>4269</v>
      </c>
      <c r="K728">
        <v>11101</v>
      </c>
      <c r="L728" t="s">
        <v>4275</v>
      </c>
      <c r="M728" t="s">
        <v>4277</v>
      </c>
      <c r="O728" t="s">
        <v>4283</v>
      </c>
      <c r="P728" t="s">
        <v>4927</v>
      </c>
      <c r="Q728" t="s">
        <v>5731</v>
      </c>
      <c r="R728" t="s">
        <v>5751</v>
      </c>
      <c r="T728" t="s">
        <v>4276</v>
      </c>
      <c r="V728" t="s">
        <v>5767</v>
      </c>
      <c r="W728" t="s">
        <v>5771</v>
      </c>
      <c r="X728" t="s">
        <v>232</v>
      </c>
      <c r="Y728">
        <v>1193.64</v>
      </c>
      <c r="Z728" t="s">
        <v>5803</v>
      </c>
      <c r="AA728" t="s">
        <v>5804</v>
      </c>
      <c r="AC728" t="s">
        <v>6495</v>
      </c>
      <c r="AE728" t="s">
        <v>8486</v>
      </c>
      <c r="AF728">
        <v>140</v>
      </c>
      <c r="AG728" t="s">
        <v>9272</v>
      </c>
      <c r="AH728" t="s">
        <v>9284</v>
      </c>
      <c r="AI728">
        <v>1</v>
      </c>
      <c r="AJ728">
        <v>2</v>
      </c>
      <c r="AK728">
        <v>0</v>
      </c>
      <c r="AL728">
        <v>0</v>
      </c>
      <c r="AO728" t="s">
        <v>1425</v>
      </c>
      <c r="AP728">
        <v>0</v>
      </c>
      <c r="AV728">
        <v>18.15</v>
      </c>
      <c r="AW728" t="s">
        <v>79</v>
      </c>
    </row>
    <row r="729" spans="1:49">
      <c r="A729" s="1">
        <f>HYPERLINK("https://cms.ls-nyc.org/matter/dynamic-profile/view/1884779","18-1884779")</f>
        <v>0</v>
      </c>
      <c r="B729" t="s">
        <v>67</v>
      </c>
      <c r="C729" t="s">
        <v>82</v>
      </c>
      <c r="D729" t="s">
        <v>174</v>
      </c>
      <c r="E729" t="s">
        <v>221</v>
      </c>
      <c r="F729" t="s">
        <v>872</v>
      </c>
      <c r="G729" t="s">
        <v>1588</v>
      </c>
      <c r="H729" t="s">
        <v>3127</v>
      </c>
      <c r="I729" t="s">
        <v>3952</v>
      </c>
      <c r="J729" t="s">
        <v>4231</v>
      </c>
      <c r="K729">
        <v>11419</v>
      </c>
      <c r="L729" t="s">
        <v>4275</v>
      </c>
      <c r="M729" t="s">
        <v>4275</v>
      </c>
      <c r="O729" t="s">
        <v>4283</v>
      </c>
      <c r="P729" t="s">
        <v>4928</v>
      </c>
      <c r="Q729" t="s">
        <v>5732</v>
      </c>
      <c r="R729" t="s">
        <v>5753</v>
      </c>
      <c r="S729" t="s">
        <v>5759</v>
      </c>
      <c r="T729" t="s">
        <v>4276</v>
      </c>
      <c r="V729" t="s">
        <v>5767</v>
      </c>
      <c r="W729" t="s">
        <v>5771</v>
      </c>
      <c r="X729" t="s">
        <v>174</v>
      </c>
      <c r="Y729">
        <v>1400</v>
      </c>
      <c r="Z729" t="s">
        <v>5803</v>
      </c>
      <c r="AA729" t="s">
        <v>5804</v>
      </c>
      <c r="AB729" t="s">
        <v>5821</v>
      </c>
      <c r="AC729" t="s">
        <v>6496</v>
      </c>
      <c r="AD729" t="s">
        <v>7557</v>
      </c>
      <c r="AE729" t="s">
        <v>8487</v>
      </c>
      <c r="AF729">
        <v>2</v>
      </c>
      <c r="AG729" t="s">
        <v>9269</v>
      </c>
      <c r="AH729" t="s">
        <v>4280</v>
      </c>
      <c r="AI729">
        <v>3</v>
      </c>
      <c r="AJ729">
        <v>2</v>
      </c>
      <c r="AK729">
        <v>0</v>
      </c>
      <c r="AL729">
        <v>18.06</v>
      </c>
      <c r="AO729" t="s">
        <v>1425</v>
      </c>
      <c r="AP729">
        <v>2973</v>
      </c>
      <c r="AV729">
        <v>2.7</v>
      </c>
      <c r="AW729" t="s">
        <v>67</v>
      </c>
    </row>
    <row r="730" spans="1:49">
      <c r="A730" s="1">
        <f>HYPERLINK("https://cms.ls-nyc.org/matter/dynamic-profile/view/1901212","19-1901212")</f>
        <v>0</v>
      </c>
      <c r="B730" t="s">
        <v>67</v>
      </c>
      <c r="C730" t="s">
        <v>83</v>
      </c>
      <c r="D730" t="s">
        <v>250</v>
      </c>
      <c r="F730" t="s">
        <v>873</v>
      </c>
      <c r="G730" t="s">
        <v>1943</v>
      </c>
      <c r="H730" t="s">
        <v>3128</v>
      </c>
      <c r="I730" t="s">
        <v>3952</v>
      </c>
      <c r="J730" t="s">
        <v>4254</v>
      </c>
      <c r="K730">
        <v>11692</v>
      </c>
      <c r="L730" t="s">
        <v>4275</v>
      </c>
      <c r="M730" t="s">
        <v>4277</v>
      </c>
      <c r="N730" t="s">
        <v>4278</v>
      </c>
      <c r="O730" t="s">
        <v>4283</v>
      </c>
      <c r="P730" t="s">
        <v>4929</v>
      </c>
      <c r="Q730" t="s">
        <v>5732</v>
      </c>
      <c r="R730" t="s">
        <v>5751</v>
      </c>
      <c r="T730" t="s">
        <v>4276</v>
      </c>
      <c r="V730" t="s">
        <v>5767</v>
      </c>
      <c r="W730" t="s">
        <v>5773</v>
      </c>
      <c r="X730" t="s">
        <v>5790</v>
      </c>
      <c r="Y730">
        <v>2197</v>
      </c>
      <c r="Z730" t="s">
        <v>5803</v>
      </c>
      <c r="AA730" t="s">
        <v>5818</v>
      </c>
      <c r="AC730" t="s">
        <v>6497</v>
      </c>
      <c r="AD730">
        <v>30838634</v>
      </c>
      <c r="AE730" t="s">
        <v>8488</v>
      </c>
      <c r="AF730">
        <v>2</v>
      </c>
      <c r="AG730" t="s">
        <v>9269</v>
      </c>
      <c r="AH730" t="s">
        <v>9286</v>
      </c>
      <c r="AI730">
        <v>3</v>
      </c>
      <c r="AJ730">
        <v>2</v>
      </c>
      <c r="AK730">
        <v>7</v>
      </c>
      <c r="AL730">
        <v>19.06</v>
      </c>
      <c r="AO730" t="s">
        <v>1425</v>
      </c>
      <c r="AP730">
        <v>9120</v>
      </c>
      <c r="AV730">
        <v>17.2</v>
      </c>
      <c r="AW730" t="s">
        <v>9556</v>
      </c>
    </row>
    <row r="731" spans="1:49">
      <c r="A731" s="1">
        <f>HYPERLINK("https://cms.ls-nyc.org/matter/dynamic-profile/view/1888389","19-1888389")</f>
        <v>0</v>
      </c>
      <c r="B731" t="s">
        <v>67</v>
      </c>
      <c r="C731" t="s">
        <v>82</v>
      </c>
      <c r="D731" t="s">
        <v>135</v>
      </c>
      <c r="E731" t="s">
        <v>99</v>
      </c>
      <c r="F731" t="s">
        <v>339</v>
      </c>
      <c r="G731" t="s">
        <v>1507</v>
      </c>
      <c r="H731" t="s">
        <v>2632</v>
      </c>
      <c r="I731" t="s">
        <v>3917</v>
      </c>
      <c r="J731" t="s">
        <v>4251</v>
      </c>
      <c r="K731">
        <v>11377</v>
      </c>
      <c r="L731" t="s">
        <v>4275</v>
      </c>
      <c r="M731" t="s">
        <v>4275</v>
      </c>
      <c r="N731" t="s">
        <v>4278</v>
      </c>
      <c r="O731" t="s">
        <v>4283</v>
      </c>
      <c r="P731" t="s">
        <v>4430</v>
      </c>
      <c r="Q731" t="s">
        <v>5731</v>
      </c>
      <c r="R731" t="s">
        <v>5751</v>
      </c>
      <c r="S731" t="s">
        <v>5758</v>
      </c>
      <c r="T731" t="s">
        <v>4276</v>
      </c>
      <c r="V731" t="s">
        <v>5767</v>
      </c>
      <c r="W731" t="s">
        <v>5771</v>
      </c>
      <c r="X731" t="s">
        <v>135</v>
      </c>
      <c r="Y731">
        <v>1104.78</v>
      </c>
      <c r="Z731" t="s">
        <v>5803</v>
      </c>
      <c r="AA731" t="s">
        <v>5804</v>
      </c>
      <c r="AB731" t="s">
        <v>5820</v>
      </c>
      <c r="AC731" t="s">
        <v>5975</v>
      </c>
      <c r="AD731" t="s">
        <v>7289</v>
      </c>
      <c r="AE731" t="s">
        <v>7983</v>
      </c>
      <c r="AF731">
        <v>65</v>
      </c>
      <c r="AG731" t="s">
        <v>9272</v>
      </c>
      <c r="AH731" t="s">
        <v>4280</v>
      </c>
      <c r="AI731">
        <v>24</v>
      </c>
      <c r="AJ731">
        <v>3</v>
      </c>
      <c r="AK731">
        <v>0</v>
      </c>
      <c r="AL731">
        <v>20.04</v>
      </c>
      <c r="AO731" t="s">
        <v>1425</v>
      </c>
      <c r="AP731">
        <v>4164</v>
      </c>
      <c r="AR731" t="s">
        <v>9327</v>
      </c>
      <c r="AS731" t="s">
        <v>9336</v>
      </c>
      <c r="AT731" t="s">
        <v>9369</v>
      </c>
      <c r="AU731" t="s">
        <v>9485</v>
      </c>
      <c r="AV731">
        <v>26.95</v>
      </c>
      <c r="AW731" t="s">
        <v>73</v>
      </c>
    </row>
    <row r="732" spans="1:49">
      <c r="A732" s="1">
        <f>HYPERLINK("https://cms.ls-nyc.org/matter/dynamic-profile/view/1899222","19-1899222")</f>
        <v>0</v>
      </c>
      <c r="B732" t="s">
        <v>67</v>
      </c>
      <c r="C732" t="s">
        <v>83</v>
      </c>
      <c r="D732" t="s">
        <v>161</v>
      </c>
      <c r="F732" t="s">
        <v>874</v>
      </c>
      <c r="G732" t="s">
        <v>1944</v>
      </c>
      <c r="H732" t="s">
        <v>3129</v>
      </c>
      <c r="I732" t="s">
        <v>3984</v>
      </c>
      <c r="J732" t="s">
        <v>4243</v>
      </c>
      <c r="K732">
        <v>11691</v>
      </c>
      <c r="L732" t="s">
        <v>4275</v>
      </c>
      <c r="M732" t="s">
        <v>4277</v>
      </c>
      <c r="N732" t="s">
        <v>4278</v>
      </c>
      <c r="O732" t="s">
        <v>4283</v>
      </c>
      <c r="P732" t="s">
        <v>4930</v>
      </c>
      <c r="Q732" t="s">
        <v>5732</v>
      </c>
      <c r="R732" t="s">
        <v>5754</v>
      </c>
      <c r="T732" t="s">
        <v>4276</v>
      </c>
      <c r="V732" t="s">
        <v>5767</v>
      </c>
      <c r="W732" t="s">
        <v>5772</v>
      </c>
      <c r="X732" t="s">
        <v>283</v>
      </c>
      <c r="Y732">
        <v>0</v>
      </c>
      <c r="Z732" t="s">
        <v>5803</v>
      </c>
      <c r="AA732" t="s">
        <v>5805</v>
      </c>
      <c r="AC732" t="s">
        <v>6498</v>
      </c>
      <c r="AE732" t="s">
        <v>8489</v>
      </c>
      <c r="AF732">
        <v>3</v>
      </c>
      <c r="AG732" t="s">
        <v>9269</v>
      </c>
      <c r="AH732" t="s">
        <v>4280</v>
      </c>
      <c r="AI732">
        <v>4</v>
      </c>
      <c r="AJ732">
        <v>1</v>
      </c>
      <c r="AK732">
        <v>0</v>
      </c>
      <c r="AL732">
        <v>24.02</v>
      </c>
      <c r="AO732" t="s">
        <v>1425</v>
      </c>
      <c r="AP732">
        <v>3000</v>
      </c>
      <c r="AS732" t="s">
        <v>5806</v>
      </c>
      <c r="AT732" t="s">
        <v>9372</v>
      </c>
      <c r="AU732" t="s">
        <v>9486</v>
      </c>
      <c r="AV732">
        <v>6</v>
      </c>
      <c r="AW732" t="s">
        <v>9555</v>
      </c>
    </row>
    <row r="733" spans="1:49">
      <c r="A733" s="1">
        <f>HYPERLINK("https://cms.ls-nyc.org/matter/dynamic-profile/view/1879466","18-1879466")</f>
        <v>0</v>
      </c>
      <c r="B733" t="s">
        <v>67</v>
      </c>
      <c r="C733" t="s">
        <v>82</v>
      </c>
      <c r="D733" t="s">
        <v>128</v>
      </c>
      <c r="E733" t="s">
        <v>229</v>
      </c>
      <c r="F733" t="s">
        <v>875</v>
      </c>
      <c r="G733" t="s">
        <v>1945</v>
      </c>
      <c r="H733" t="s">
        <v>3130</v>
      </c>
      <c r="I733">
        <v>2</v>
      </c>
      <c r="J733" t="s">
        <v>4262</v>
      </c>
      <c r="K733">
        <v>11414</v>
      </c>
      <c r="L733" t="s">
        <v>4275</v>
      </c>
      <c r="M733" t="s">
        <v>4275</v>
      </c>
      <c r="O733" t="s">
        <v>4283</v>
      </c>
      <c r="P733" t="s">
        <v>4931</v>
      </c>
      <c r="Q733" t="s">
        <v>5732</v>
      </c>
      <c r="R733" t="s">
        <v>5753</v>
      </c>
      <c r="S733" t="s">
        <v>5759</v>
      </c>
      <c r="T733" t="s">
        <v>4276</v>
      </c>
      <c r="V733" t="s">
        <v>5767</v>
      </c>
      <c r="W733" t="s">
        <v>5772</v>
      </c>
      <c r="X733" t="s">
        <v>128</v>
      </c>
      <c r="Y733">
        <v>1500</v>
      </c>
      <c r="Z733" t="s">
        <v>5803</v>
      </c>
      <c r="AA733" t="s">
        <v>5804</v>
      </c>
      <c r="AB733" t="s">
        <v>5821</v>
      </c>
      <c r="AC733" t="s">
        <v>6499</v>
      </c>
      <c r="AD733" t="s">
        <v>7558</v>
      </c>
      <c r="AE733" t="s">
        <v>8490</v>
      </c>
      <c r="AF733">
        <v>2</v>
      </c>
      <c r="AG733" t="s">
        <v>9269</v>
      </c>
      <c r="AH733" t="s">
        <v>4280</v>
      </c>
      <c r="AI733">
        <v>3</v>
      </c>
      <c r="AJ733">
        <v>1</v>
      </c>
      <c r="AK733">
        <v>1</v>
      </c>
      <c r="AL733">
        <v>28.21</v>
      </c>
      <c r="AO733" t="s">
        <v>1425</v>
      </c>
      <c r="AP733">
        <v>4644</v>
      </c>
      <c r="AV733">
        <v>0.5</v>
      </c>
      <c r="AW733" t="s">
        <v>73</v>
      </c>
    </row>
    <row r="734" spans="1:49">
      <c r="A734" s="1">
        <f>HYPERLINK("https://cms.ls-nyc.org/matter/dynamic-profile/view/1883017","18-1883017")</f>
        <v>0</v>
      </c>
      <c r="B734" t="s">
        <v>67</v>
      </c>
      <c r="C734" t="s">
        <v>82</v>
      </c>
      <c r="D734" t="s">
        <v>223</v>
      </c>
      <c r="E734" t="s">
        <v>86</v>
      </c>
      <c r="F734" t="s">
        <v>876</v>
      </c>
      <c r="G734" t="s">
        <v>1946</v>
      </c>
      <c r="H734" t="s">
        <v>3131</v>
      </c>
      <c r="I734">
        <v>11</v>
      </c>
      <c r="J734" t="s">
        <v>4234</v>
      </c>
      <c r="K734">
        <v>11105</v>
      </c>
      <c r="L734" t="s">
        <v>4275</v>
      </c>
      <c r="M734" t="s">
        <v>4275</v>
      </c>
      <c r="O734" t="s">
        <v>4283</v>
      </c>
      <c r="P734" t="s">
        <v>4932</v>
      </c>
      <c r="Q734" t="s">
        <v>5731</v>
      </c>
      <c r="R734" t="s">
        <v>5753</v>
      </c>
      <c r="S734" t="s">
        <v>5759</v>
      </c>
      <c r="T734" t="s">
        <v>4276</v>
      </c>
      <c r="V734" t="s">
        <v>5767</v>
      </c>
      <c r="W734" t="s">
        <v>5772</v>
      </c>
      <c r="X734" t="s">
        <v>223</v>
      </c>
      <c r="Y734">
        <v>1176</v>
      </c>
      <c r="Z734" t="s">
        <v>5803</v>
      </c>
      <c r="AA734" t="s">
        <v>5804</v>
      </c>
      <c r="AB734" t="s">
        <v>5821</v>
      </c>
      <c r="AC734" t="s">
        <v>6500</v>
      </c>
      <c r="AE734" t="s">
        <v>8491</v>
      </c>
      <c r="AF734">
        <v>12</v>
      </c>
      <c r="AG734" t="s">
        <v>9272</v>
      </c>
      <c r="AH734" t="s">
        <v>4280</v>
      </c>
      <c r="AI734">
        <v>35</v>
      </c>
      <c r="AJ734">
        <v>1</v>
      </c>
      <c r="AK734">
        <v>0</v>
      </c>
      <c r="AL734">
        <v>29.65</v>
      </c>
      <c r="AO734" t="s">
        <v>1425</v>
      </c>
      <c r="AP734">
        <v>3600</v>
      </c>
      <c r="AV734">
        <v>4.3</v>
      </c>
      <c r="AW734" t="s">
        <v>73</v>
      </c>
    </row>
    <row r="735" spans="1:49">
      <c r="A735" s="1">
        <f>HYPERLINK("https://cms.ls-nyc.org/matter/dynamic-profile/view/1875223","18-1875223")</f>
        <v>0</v>
      </c>
      <c r="B735" t="s">
        <v>67</v>
      </c>
      <c r="C735" t="s">
        <v>82</v>
      </c>
      <c r="D735" t="s">
        <v>177</v>
      </c>
      <c r="E735" t="s">
        <v>259</v>
      </c>
      <c r="F735" t="s">
        <v>877</v>
      </c>
      <c r="G735" t="s">
        <v>1947</v>
      </c>
      <c r="H735" t="s">
        <v>3132</v>
      </c>
      <c r="J735" t="s">
        <v>4242</v>
      </c>
      <c r="K735">
        <v>11364</v>
      </c>
      <c r="L735" t="s">
        <v>4275</v>
      </c>
      <c r="M735" t="s">
        <v>4275</v>
      </c>
      <c r="O735" t="s">
        <v>4284</v>
      </c>
      <c r="P735" t="s">
        <v>4933</v>
      </c>
      <c r="Q735" t="s">
        <v>5731</v>
      </c>
      <c r="R735" t="s">
        <v>5753</v>
      </c>
      <c r="S735" t="s">
        <v>5759</v>
      </c>
      <c r="T735" t="s">
        <v>4276</v>
      </c>
      <c r="V735" t="s">
        <v>5767</v>
      </c>
      <c r="W735" t="s">
        <v>5772</v>
      </c>
      <c r="X735" t="s">
        <v>177</v>
      </c>
      <c r="Y735">
        <v>3400</v>
      </c>
      <c r="Z735" t="s">
        <v>5803</v>
      </c>
      <c r="AA735" t="s">
        <v>5815</v>
      </c>
      <c r="AB735" t="s">
        <v>5821</v>
      </c>
      <c r="AC735" t="s">
        <v>6501</v>
      </c>
      <c r="AD735" t="s">
        <v>4280</v>
      </c>
      <c r="AE735" t="s">
        <v>8492</v>
      </c>
      <c r="AF735">
        <v>1</v>
      </c>
      <c r="AG735" t="s">
        <v>9269</v>
      </c>
      <c r="AH735" t="s">
        <v>4280</v>
      </c>
      <c r="AI735">
        <v>1</v>
      </c>
      <c r="AJ735">
        <v>1</v>
      </c>
      <c r="AK735">
        <v>4</v>
      </c>
      <c r="AL735">
        <v>30.59</v>
      </c>
      <c r="AM735" t="s">
        <v>9291</v>
      </c>
      <c r="AN735" t="s">
        <v>9295</v>
      </c>
      <c r="AO735" t="s">
        <v>1425</v>
      </c>
      <c r="AP735">
        <v>9000</v>
      </c>
      <c r="AV735">
        <v>1.3</v>
      </c>
      <c r="AW735" t="s">
        <v>67</v>
      </c>
    </row>
    <row r="736" spans="1:49">
      <c r="A736" s="1">
        <f>HYPERLINK("https://cms.ls-nyc.org/matter/dynamic-profile/view/1873954","18-1873954")</f>
        <v>0</v>
      </c>
      <c r="B736" t="s">
        <v>67</v>
      </c>
      <c r="C736" t="s">
        <v>82</v>
      </c>
      <c r="D736" t="s">
        <v>131</v>
      </c>
      <c r="E736" t="s">
        <v>149</v>
      </c>
      <c r="F736" t="s">
        <v>878</v>
      </c>
      <c r="G736" t="s">
        <v>833</v>
      </c>
      <c r="H736" t="s">
        <v>3133</v>
      </c>
      <c r="I736" t="s">
        <v>3985</v>
      </c>
      <c r="J736" t="s">
        <v>4243</v>
      </c>
      <c r="K736">
        <v>11691</v>
      </c>
      <c r="L736" t="s">
        <v>4275</v>
      </c>
      <c r="M736" t="s">
        <v>4275</v>
      </c>
      <c r="O736" t="s">
        <v>4283</v>
      </c>
      <c r="P736" t="s">
        <v>4934</v>
      </c>
      <c r="Q736" t="s">
        <v>5731</v>
      </c>
      <c r="R736" t="s">
        <v>5751</v>
      </c>
      <c r="S736" t="s">
        <v>5758</v>
      </c>
      <c r="T736" t="s">
        <v>4276</v>
      </c>
      <c r="V736" t="s">
        <v>5767</v>
      </c>
      <c r="W736" t="s">
        <v>5771</v>
      </c>
      <c r="X736" t="s">
        <v>131</v>
      </c>
      <c r="Y736">
        <v>2221</v>
      </c>
      <c r="Z736" t="s">
        <v>5803</v>
      </c>
      <c r="AA736" t="s">
        <v>5804</v>
      </c>
      <c r="AB736" t="s">
        <v>5820</v>
      </c>
      <c r="AC736" t="s">
        <v>6502</v>
      </c>
      <c r="AD736" t="s">
        <v>7559</v>
      </c>
      <c r="AE736" t="s">
        <v>8493</v>
      </c>
      <c r="AF736">
        <v>1</v>
      </c>
      <c r="AG736" t="s">
        <v>9269</v>
      </c>
      <c r="AH736" t="s">
        <v>9289</v>
      </c>
      <c r="AI736">
        <v>3</v>
      </c>
      <c r="AJ736">
        <v>2</v>
      </c>
      <c r="AK736">
        <v>2</v>
      </c>
      <c r="AL736">
        <v>31.08</v>
      </c>
      <c r="AO736" t="s">
        <v>1425</v>
      </c>
      <c r="AP736">
        <v>7800</v>
      </c>
      <c r="AR736" t="s">
        <v>9326</v>
      </c>
      <c r="AS736" t="s">
        <v>9336</v>
      </c>
      <c r="AT736" t="s">
        <v>9369</v>
      </c>
      <c r="AU736" t="s">
        <v>9475</v>
      </c>
      <c r="AV736">
        <v>35.8</v>
      </c>
      <c r="AW736" t="s">
        <v>73</v>
      </c>
    </row>
    <row r="737" spans="1:49">
      <c r="A737" s="1">
        <f>HYPERLINK("https://cms.ls-nyc.org/matter/dynamic-profile/view/1878642","18-1878642")</f>
        <v>0</v>
      </c>
      <c r="B737" t="s">
        <v>67</v>
      </c>
      <c r="C737" t="s">
        <v>82</v>
      </c>
      <c r="D737" t="s">
        <v>147</v>
      </c>
      <c r="E737" t="s">
        <v>101</v>
      </c>
      <c r="F737" t="s">
        <v>879</v>
      </c>
      <c r="G737" t="s">
        <v>1948</v>
      </c>
      <c r="H737" t="s">
        <v>3134</v>
      </c>
      <c r="I737" t="s">
        <v>3883</v>
      </c>
      <c r="J737" t="s">
        <v>4243</v>
      </c>
      <c r="K737">
        <v>11691</v>
      </c>
      <c r="L737" t="s">
        <v>4275</v>
      </c>
      <c r="M737" t="s">
        <v>4275</v>
      </c>
      <c r="O737" t="s">
        <v>4283</v>
      </c>
      <c r="P737" t="s">
        <v>4935</v>
      </c>
      <c r="Q737" t="s">
        <v>5731</v>
      </c>
      <c r="R737" t="s">
        <v>5751</v>
      </c>
      <c r="S737" t="s">
        <v>5758</v>
      </c>
      <c r="T737" t="s">
        <v>4276</v>
      </c>
      <c r="V737" t="s">
        <v>5767</v>
      </c>
      <c r="W737" t="s">
        <v>5772</v>
      </c>
      <c r="X737" t="s">
        <v>147</v>
      </c>
      <c r="Y737">
        <v>1144</v>
      </c>
      <c r="Z737" t="s">
        <v>5803</v>
      </c>
      <c r="AA737" t="s">
        <v>5804</v>
      </c>
      <c r="AB737" t="s">
        <v>5820</v>
      </c>
      <c r="AC737" t="s">
        <v>6503</v>
      </c>
      <c r="AD737" t="s">
        <v>7560</v>
      </c>
      <c r="AE737" t="s">
        <v>8494</v>
      </c>
      <c r="AF737">
        <v>20</v>
      </c>
      <c r="AG737" t="s">
        <v>9272</v>
      </c>
      <c r="AH737" t="s">
        <v>9283</v>
      </c>
      <c r="AI737">
        <v>4</v>
      </c>
      <c r="AJ737">
        <v>1</v>
      </c>
      <c r="AK737">
        <v>0</v>
      </c>
      <c r="AL737">
        <v>33.84</v>
      </c>
      <c r="AO737" t="s">
        <v>1425</v>
      </c>
      <c r="AP737">
        <v>4108</v>
      </c>
      <c r="AR737" t="s">
        <v>9328</v>
      </c>
      <c r="AS737" t="s">
        <v>9341</v>
      </c>
      <c r="AT737" t="s">
        <v>9369</v>
      </c>
      <c r="AU737" t="s">
        <v>9426</v>
      </c>
      <c r="AV737">
        <v>41.4</v>
      </c>
      <c r="AW737" t="s">
        <v>54</v>
      </c>
    </row>
    <row r="738" spans="1:49">
      <c r="A738" s="1">
        <f>HYPERLINK("https://cms.ls-nyc.org/matter/dynamic-profile/view/1883969","18-1883969")</f>
        <v>0</v>
      </c>
      <c r="B738" t="s">
        <v>67</v>
      </c>
      <c r="C738" t="s">
        <v>82</v>
      </c>
      <c r="D738" t="s">
        <v>86</v>
      </c>
      <c r="E738" t="s">
        <v>163</v>
      </c>
      <c r="F738" t="s">
        <v>880</v>
      </c>
      <c r="G738" t="s">
        <v>1486</v>
      </c>
      <c r="H738" t="s">
        <v>3135</v>
      </c>
      <c r="I738" t="s">
        <v>4068</v>
      </c>
      <c r="J738" t="s">
        <v>4254</v>
      </c>
      <c r="K738">
        <v>11692</v>
      </c>
      <c r="L738" t="s">
        <v>4275</v>
      </c>
      <c r="M738" t="s">
        <v>4275</v>
      </c>
      <c r="O738" t="s">
        <v>4283</v>
      </c>
      <c r="P738" t="s">
        <v>4936</v>
      </c>
      <c r="Q738" t="s">
        <v>5732</v>
      </c>
      <c r="R738" t="s">
        <v>5751</v>
      </c>
      <c r="S738" t="s">
        <v>5758</v>
      </c>
      <c r="T738" t="s">
        <v>4276</v>
      </c>
      <c r="V738" t="s">
        <v>5767</v>
      </c>
      <c r="W738" t="s">
        <v>5772</v>
      </c>
      <c r="X738" t="s">
        <v>86</v>
      </c>
      <c r="Y738">
        <v>1700</v>
      </c>
      <c r="Z738" t="s">
        <v>5803</v>
      </c>
      <c r="AA738" t="s">
        <v>5804</v>
      </c>
      <c r="AB738" t="s">
        <v>5820</v>
      </c>
      <c r="AC738" t="s">
        <v>6504</v>
      </c>
      <c r="AD738" t="s">
        <v>7561</v>
      </c>
      <c r="AE738" t="s">
        <v>8495</v>
      </c>
      <c r="AF738">
        <v>3</v>
      </c>
      <c r="AG738" t="s">
        <v>9269</v>
      </c>
      <c r="AH738" t="s">
        <v>4280</v>
      </c>
      <c r="AI738">
        <v>7</v>
      </c>
      <c r="AJ738">
        <v>1</v>
      </c>
      <c r="AK738">
        <v>3</v>
      </c>
      <c r="AL738">
        <v>36</v>
      </c>
      <c r="AO738" t="s">
        <v>1425</v>
      </c>
      <c r="AP738">
        <v>9036</v>
      </c>
      <c r="AR738" t="s">
        <v>9328</v>
      </c>
      <c r="AS738" t="s">
        <v>9336</v>
      </c>
      <c r="AT738" t="s">
        <v>9369</v>
      </c>
      <c r="AU738" t="s">
        <v>9479</v>
      </c>
      <c r="AV738">
        <v>24.05</v>
      </c>
      <c r="AW738" t="s">
        <v>73</v>
      </c>
    </row>
    <row r="739" spans="1:49">
      <c r="A739" s="1">
        <f>HYPERLINK("https://cms.ls-nyc.org/matter/dynamic-profile/view/1873284","18-1873284")</f>
        <v>0</v>
      </c>
      <c r="B739" t="s">
        <v>67</v>
      </c>
      <c r="C739" t="s">
        <v>82</v>
      </c>
      <c r="D739" t="s">
        <v>133</v>
      </c>
      <c r="E739" t="s">
        <v>108</v>
      </c>
      <c r="F739" t="s">
        <v>766</v>
      </c>
      <c r="G739" t="s">
        <v>1949</v>
      </c>
      <c r="H739" t="s">
        <v>2944</v>
      </c>
      <c r="I739" t="s">
        <v>4069</v>
      </c>
      <c r="J739" t="s">
        <v>4243</v>
      </c>
      <c r="K739">
        <v>11691</v>
      </c>
      <c r="L739" t="s">
        <v>4275</v>
      </c>
      <c r="M739" t="s">
        <v>4275</v>
      </c>
      <c r="O739" t="s">
        <v>4283</v>
      </c>
      <c r="P739" t="s">
        <v>4937</v>
      </c>
      <c r="Q739" t="s">
        <v>5732</v>
      </c>
      <c r="R739" t="s">
        <v>5751</v>
      </c>
      <c r="S739" t="s">
        <v>5764</v>
      </c>
      <c r="T739" t="s">
        <v>4276</v>
      </c>
      <c r="V739" t="s">
        <v>5767</v>
      </c>
      <c r="W739" t="s">
        <v>5772</v>
      </c>
      <c r="X739" t="s">
        <v>133</v>
      </c>
      <c r="Y739">
        <v>1956</v>
      </c>
      <c r="Z739" t="s">
        <v>5803</v>
      </c>
      <c r="AA739" t="s">
        <v>5804</v>
      </c>
      <c r="AB739" t="s">
        <v>5820</v>
      </c>
      <c r="AC739" t="s">
        <v>6505</v>
      </c>
      <c r="AD739" t="s">
        <v>7562</v>
      </c>
      <c r="AE739" t="s">
        <v>7289</v>
      </c>
      <c r="AF739">
        <v>3</v>
      </c>
      <c r="AG739" t="s">
        <v>9269</v>
      </c>
      <c r="AH739" t="s">
        <v>9284</v>
      </c>
      <c r="AI739">
        <v>3</v>
      </c>
      <c r="AJ739">
        <v>1</v>
      </c>
      <c r="AK739">
        <v>5</v>
      </c>
      <c r="AL739">
        <v>40.46</v>
      </c>
      <c r="AO739" t="s">
        <v>1425</v>
      </c>
      <c r="AP739">
        <v>13650</v>
      </c>
      <c r="AR739" t="s">
        <v>9327</v>
      </c>
      <c r="AS739" t="s">
        <v>5806</v>
      </c>
      <c r="AT739" t="s">
        <v>9369</v>
      </c>
      <c r="AU739" t="s">
        <v>9487</v>
      </c>
      <c r="AV739">
        <v>31.2</v>
      </c>
      <c r="AW739" t="s">
        <v>76</v>
      </c>
    </row>
    <row r="740" spans="1:49">
      <c r="A740" s="1">
        <f>HYPERLINK("https://cms.ls-nyc.org/matter/dynamic-profile/view/1879352","18-1879352")</f>
        <v>0</v>
      </c>
      <c r="B740" t="s">
        <v>67</v>
      </c>
      <c r="C740" t="s">
        <v>82</v>
      </c>
      <c r="D740" t="s">
        <v>220</v>
      </c>
      <c r="E740" t="s">
        <v>99</v>
      </c>
      <c r="F740" t="s">
        <v>881</v>
      </c>
      <c r="G740" t="s">
        <v>1795</v>
      </c>
      <c r="H740" t="s">
        <v>3136</v>
      </c>
      <c r="I740" t="s">
        <v>3875</v>
      </c>
      <c r="J740" t="s">
        <v>4243</v>
      </c>
      <c r="K740">
        <v>11691</v>
      </c>
      <c r="L740" t="s">
        <v>4275</v>
      </c>
      <c r="M740" t="s">
        <v>4275</v>
      </c>
      <c r="N740" t="s">
        <v>4278</v>
      </c>
      <c r="O740" t="s">
        <v>4283</v>
      </c>
      <c r="P740" t="s">
        <v>4938</v>
      </c>
      <c r="Q740" t="s">
        <v>5731</v>
      </c>
      <c r="R740" t="s">
        <v>5751</v>
      </c>
      <c r="S740" t="s">
        <v>5758</v>
      </c>
      <c r="T740" t="s">
        <v>4276</v>
      </c>
      <c r="V740" t="s">
        <v>5767</v>
      </c>
      <c r="W740" t="s">
        <v>5772</v>
      </c>
      <c r="X740" t="s">
        <v>220</v>
      </c>
      <c r="Y740">
        <v>1515</v>
      </c>
      <c r="Z740" t="s">
        <v>5803</v>
      </c>
      <c r="AA740" t="s">
        <v>5804</v>
      </c>
      <c r="AB740" t="s">
        <v>5820</v>
      </c>
      <c r="AC740" t="s">
        <v>6506</v>
      </c>
      <c r="AD740" t="s">
        <v>7563</v>
      </c>
      <c r="AE740" t="s">
        <v>8496</v>
      </c>
      <c r="AF740">
        <v>28</v>
      </c>
      <c r="AG740" t="s">
        <v>9272</v>
      </c>
      <c r="AH740" t="s">
        <v>9286</v>
      </c>
      <c r="AI740">
        <v>1</v>
      </c>
      <c r="AJ740">
        <v>1</v>
      </c>
      <c r="AK740">
        <v>3</v>
      </c>
      <c r="AL740">
        <v>44.02</v>
      </c>
      <c r="AO740" t="s">
        <v>1425</v>
      </c>
      <c r="AP740">
        <v>11050</v>
      </c>
      <c r="AR740" t="s">
        <v>9333</v>
      </c>
      <c r="AS740" t="s">
        <v>9341</v>
      </c>
      <c r="AT740" t="s">
        <v>9369</v>
      </c>
      <c r="AU740" t="s">
        <v>9452</v>
      </c>
      <c r="AV740">
        <v>44.95</v>
      </c>
      <c r="AW740" t="s">
        <v>54</v>
      </c>
    </row>
    <row r="741" spans="1:49">
      <c r="A741" s="1">
        <f>HYPERLINK("https://cms.ls-nyc.org/matter/dynamic-profile/view/1895185","19-1895185")</f>
        <v>0</v>
      </c>
      <c r="B741" t="s">
        <v>67</v>
      </c>
      <c r="C741" t="s">
        <v>83</v>
      </c>
      <c r="D741" t="s">
        <v>214</v>
      </c>
      <c r="F741" t="s">
        <v>882</v>
      </c>
      <c r="G741" t="s">
        <v>1385</v>
      </c>
      <c r="H741" t="s">
        <v>3137</v>
      </c>
      <c r="I741" t="s">
        <v>4011</v>
      </c>
      <c r="J741" t="s">
        <v>4243</v>
      </c>
      <c r="K741">
        <v>11691</v>
      </c>
      <c r="L741" t="s">
        <v>4275</v>
      </c>
      <c r="M741" t="s">
        <v>4275</v>
      </c>
      <c r="N741" t="s">
        <v>4278</v>
      </c>
      <c r="O741" t="s">
        <v>4283</v>
      </c>
      <c r="P741" t="s">
        <v>4939</v>
      </c>
      <c r="Q741" t="s">
        <v>5731</v>
      </c>
      <c r="R741" t="s">
        <v>5751</v>
      </c>
      <c r="T741" t="s">
        <v>4276</v>
      </c>
      <c r="V741" t="s">
        <v>5767</v>
      </c>
      <c r="W741" t="s">
        <v>5772</v>
      </c>
      <c r="X741" t="s">
        <v>246</v>
      </c>
      <c r="Y741">
        <v>906</v>
      </c>
      <c r="Z741" t="s">
        <v>5803</v>
      </c>
      <c r="AA741" t="s">
        <v>5804</v>
      </c>
      <c r="AC741" t="s">
        <v>6507</v>
      </c>
      <c r="AD741" t="s">
        <v>7564</v>
      </c>
      <c r="AE741" t="s">
        <v>8497</v>
      </c>
      <c r="AF741">
        <v>107</v>
      </c>
      <c r="AG741" t="s">
        <v>9272</v>
      </c>
      <c r="AH741" t="s">
        <v>4280</v>
      </c>
      <c r="AI741">
        <v>26</v>
      </c>
      <c r="AJ741">
        <v>1</v>
      </c>
      <c r="AK741">
        <v>1</v>
      </c>
      <c r="AL741">
        <v>47.47</v>
      </c>
      <c r="AO741" t="s">
        <v>1425</v>
      </c>
      <c r="AP741">
        <v>8028</v>
      </c>
      <c r="AR741" t="s">
        <v>9328</v>
      </c>
      <c r="AS741" t="s">
        <v>9339</v>
      </c>
      <c r="AT741" t="s">
        <v>9369</v>
      </c>
      <c r="AU741" t="s">
        <v>9447</v>
      </c>
      <c r="AV741">
        <v>23.45</v>
      </c>
      <c r="AW741" t="s">
        <v>55</v>
      </c>
    </row>
    <row r="742" spans="1:49">
      <c r="A742" s="1">
        <f>HYPERLINK("https://cms.ls-nyc.org/matter/dynamic-profile/view/1873138","18-1873138")</f>
        <v>0</v>
      </c>
      <c r="B742" t="s">
        <v>67</v>
      </c>
      <c r="C742" t="s">
        <v>82</v>
      </c>
      <c r="D742" t="s">
        <v>133</v>
      </c>
      <c r="E742" t="s">
        <v>177</v>
      </c>
      <c r="F742" t="s">
        <v>449</v>
      </c>
      <c r="G742" t="s">
        <v>1950</v>
      </c>
      <c r="H742" t="s">
        <v>3138</v>
      </c>
      <c r="I742" t="s">
        <v>3864</v>
      </c>
      <c r="J742" t="s">
        <v>4243</v>
      </c>
      <c r="K742">
        <v>11691</v>
      </c>
      <c r="L742" t="s">
        <v>4275</v>
      </c>
      <c r="M742" t="s">
        <v>4275</v>
      </c>
      <c r="O742" t="s">
        <v>4283</v>
      </c>
      <c r="P742" t="s">
        <v>4940</v>
      </c>
      <c r="Q742" t="s">
        <v>5732</v>
      </c>
      <c r="R742" t="s">
        <v>5751</v>
      </c>
      <c r="S742" t="s">
        <v>5758</v>
      </c>
      <c r="T742" t="s">
        <v>4276</v>
      </c>
      <c r="V742" t="s">
        <v>5767</v>
      </c>
      <c r="W742" t="s">
        <v>5772</v>
      </c>
      <c r="X742" t="s">
        <v>133</v>
      </c>
      <c r="Y742">
        <v>1500</v>
      </c>
      <c r="Z742" t="s">
        <v>5803</v>
      </c>
      <c r="AA742" t="s">
        <v>5810</v>
      </c>
      <c r="AB742" t="s">
        <v>5820</v>
      </c>
      <c r="AC742" t="s">
        <v>6508</v>
      </c>
      <c r="AD742" t="s">
        <v>4280</v>
      </c>
      <c r="AE742" t="s">
        <v>8498</v>
      </c>
      <c r="AF742">
        <v>2</v>
      </c>
      <c r="AG742" t="s">
        <v>9269</v>
      </c>
      <c r="AH742" t="s">
        <v>9282</v>
      </c>
      <c r="AI742">
        <v>2</v>
      </c>
      <c r="AJ742">
        <v>1</v>
      </c>
      <c r="AK742">
        <v>2</v>
      </c>
      <c r="AL742">
        <v>48.8</v>
      </c>
      <c r="AO742" t="s">
        <v>1425</v>
      </c>
      <c r="AP742">
        <v>10140</v>
      </c>
      <c r="AR742" t="s">
        <v>9329</v>
      </c>
      <c r="AS742" t="s">
        <v>9336</v>
      </c>
      <c r="AT742" t="s">
        <v>9369</v>
      </c>
      <c r="AU742" t="s">
        <v>9467</v>
      </c>
      <c r="AV742">
        <v>14.65</v>
      </c>
      <c r="AW742" t="s">
        <v>73</v>
      </c>
    </row>
    <row r="743" spans="1:49">
      <c r="A743" s="1">
        <f>HYPERLINK("https://cms.ls-nyc.org/matter/dynamic-profile/view/1879487","18-1879487")</f>
        <v>0</v>
      </c>
      <c r="B743" t="s">
        <v>67</v>
      </c>
      <c r="C743" t="s">
        <v>83</v>
      </c>
      <c r="D743" t="s">
        <v>128</v>
      </c>
      <c r="F743" t="s">
        <v>883</v>
      </c>
      <c r="G743" t="s">
        <v>1951</v>
      </c>
      <c r="H743" t="s">
        <v>2656</v>
      </c>
      <c r="I743">
        <v>711</v>
      </c>
      <c r="J743" t="s">
        <v>4254</v>
      </c>
      <c r="K743">
        <v>11692</v>
      </c>
      <c r="L743" t="s">
        <v>4275</v>
      </c>
      <c r="M743" t="s">
        <v>4275</v>
      </c>
      <c r="O743" t="s">
        <v>4283</v>
      </c>
      <c r="P743" t="s">
        <v>4941</v>
      </c>
      <c r="Q743" t="s">
        <v>5731</v>
      </c>
      <c r="R743" t="s">
        <v>5751</v>
      </c>
      <c r="T743" t="s">
        <v>4276</v>
      </c>
      <c r="V743" t="s">
        <v>5767</v>
      </c>
      <c r="W743" t="s">
        <v>5772</v>
      </c>
      <c r="X743" t="s">
        <v>128</v>
      </c>
      <c r="Y743">
        <v>1657</v>
      </c>
      <c r="Z743" t="s">
        <v>5803</v>
      </c>
      <c r="AA743" t="s">
        <v>5804</v>
      </c>
      <c r="AC743" t="s">
        <v>6509</v>
      </c>
      <c r="AD743" t="s">
        <v>7565</v>
      </c>
      <c r="AE743" t="s">
        <v>8499</v>
      </c>
      <c r="AF743">
        <v>103</v>
      </c>
      <c r="AG743" t="s">
        <v>9273</v>
      </c>
      <c r="AH743" t="s">
        <v>9283</v>
      </c>
      <c r="AI743">
        <v>5</v>
      </c>
      <c r="AJ743">
        <v>1</v>
      </c>
      <c r="AK743">
        <v>4</v>
      </c>
      <c r="AL743">
        <v>50.99</v>
      </c>
      <c r="AO743" t="s">
        <v>1425</v>
      </c>
      <c r="AP743">
        <v>15000</v>
      </c>
      <c r="AV743">
        <v>53.9</v>
      </c>
      <c r="AW743" t="s">
        <v>73</v>
      </c>
    </row>
    <row r="744" spans="1:49">
      <c r="A744" s="1">
        <f>HYPERLINK("https://cms.ls-nyc.org/matter/dynamic-profile/view/1873208","18-1873208")</f>
        <v>0</v>
      </c>
      <c r="B744" t="s">
        <v>67</v>
      </c>
      <c r="C744" t="s">
        <v>82</v>
      </c>
      <c r="D744" t="s">
        <v>133</v>
      </c>
      <c r="E744" t="s">
        <v>118</v>
      </c>
      <c r="F744" t="s">
        <v>884</v>
      </c>
      <c r="G744" t="s">
        <v>1952</v>
      </c>
      <c r="H744" t="s">
        <v>3139</v>
      </c>
      <c r="J744" t="s">
        <v>4270</v>
      </c>
      <c r="K744">
        <v>11411</v>
      </c>
      <c r="L744" t="s">
        <v>4275</v>
      </c>
      <c r="M744" t="s">
        <v>4275</v>
      </c>
      <c r="O744" t="s">
        <v>4283</v>
      </c>
      <c r="P744" t="s">
        <v>4942</v>
      </c>
      <c r="Q744" t="s">
        <v>5732</v>
      </c>
      <c r="R744" t="s">
        <v>5753</v>
      </c>
      <c r="S744" t="s">
        <v>5759</v>
      </c>
      <c r="T744" t="s">
        <v>4276</v>
      </c>
      <c r="V744" t="s">
        <v>5767</v>
      </c>
      <c r="W744" t="s">
        <v>5775</v>
      </c>
      <c r="X744" t="s">
        <v>133</v>
      </c>
      <c r="Y744">
        <v>200</v>
      </c>
      <c r="Z744" t="s">
        <v>5803</v>
      </c>
      <c r="AA744" t="s">
        <v>5804</v>
      </c>
      <c r="AB744" t="s">
        <v>5821</v>
      </c>
      <c r="AC744" t="s">
        <v>6510</v>
      </c>
      <c r="AD744" t="s">
        <v>7566</v>
      </c>
      <c r="AE744" t="s">
        <v>8500</v>
      </c>
      <c r="AF744">
        <v>1</v>
      </c>
      <c r="AG744" t="s">
        <v>9269</v>
      </c>
      <c r="AH744" t="s">
        <v>4280</v>
      </c>
      <c r="AI744">
        <v>20</v>
      </c>
      <c r="AJ744">
        <v>1</v>
      </c>
      <c r="AK744">
        <v>0</v>
      </c>
      <c r="AL744">
        <v>51.7</v>
      </c>
      <c r="AO744" t="s">
        <v>1425</v>
      </c>
      <c r="AP744">
        <v>6276</v>
      </c>
      <c r="AV744">
        <v>1</v>
      </c>
      <c r="AW744" t="s">
        <v>54</v>
      </c>
    </row>
    <row r="745" spans="1:49">
      <c r="A745" s="1">
        <f>HYPERLINK("https://cms.ls-nyc.org/matter/dynamic-profile/view/1874519","18-1874519")</f>
        <v>0</v>
      </c>
      <c r="B745" t="s">
        <v>67</v>
      </c>
      <c r="C745" t="s">
        <v>82</v>
      </c>
      <c r="D745" t="s">
        <v>212</v>
      </c>
      <c r="E745" t="s">
        <v>177</v>
      </c>
      <c r="F745" t="s">
        <v>885</v>
      </c>
      <c r="G745" t="s">
        <v>1953</v>
      </c>
      <c r="H745" t="s">
        <v>3140</v>
      </c>
      <c r="I745" t="s">
        <v>3841</v>
      </c>
      <c r="J745" t="s">
        <v>4250</v>
      </c>
      <c r="K745">
        <v>11412</v>
      </c>
      <c r="L745" t="s">
        <v>4275</v>
      </c>
      <c r="M745" t="s">
        <v>4275</v>
      </c>
      <c r="O745" t="s">
        <v>4283</v>
      </c>
      <c r="P745" t="s">
        <v>4943</v>
      </c>
      <c r="Q745" t="s">
        <v>5732</v>
      </c>
      <c r="R745" t="s">
        <v>5753</v>
      </c>
      <c r="S745" t="s">
        <v>5759</v>
      </c>
      <c r="T745" t="s">
        <v>4276</v>
      </c>
      <c r="V745" t="s">
        <v>5767</v>
      </c>
      <c r="W745" t="s">
        <v>5771</v>
      </c>
      <c r="X745" t="s">
        <v>212</v>
      </c>
      <c r="Y745">
        <v>1900</v>
      </c>
      <c r="Z745" t="s">
        <v>5803</v>
      </c>
      <c r="AA745" t="s">
        <v>5804</v>
      </c>
      <c r="AB745" t="s">
        <v>5821</v>
      </c>
      <c r="AC745" t="s">
        <v>6511</v>
      </c>
      <c r="AD745" t="s">
        <v>4280</v>
      </c>
      <c r="AE745" t="s">
        <v>8501</v>
      </c>
      <c r="AF745">
        <v>3</v>
      </c>
      <c r="AG745" t="s">
        <v>9269</v>
      </c>
      <c r="AH745" t="s">
        <v>4280</v>
      </c>
      <c r="AI745">
        <v>2</v>
      </c>
      <c r="AJ745">
        <v>2</v>
      </c>
      <c r="AK745">
        <v>5</v>
      </c>
      <c r="AL745">
        <v>55.18</v>
      </c>
      <c r="AO745" t="s">
        <v>1425</v>
      </c>
      <c r="AP745">
        <v>21000</v>
      </c>
      <c r="AV745">
        <v>0.4</v>
      </c>
      <c r="AW745" t="s">
        <v>67</v>
      </c>
    </row>
    <row r="746" spans="1:49">
      <c r="A746" s="1">
        <f>HYPERLINK("https://cms.ls-nyc.org/matter/dynamic-profile/view/1877407","18-1877407")</f>
        <v>0</v>
      </c>
      <c r="B746" t="s">
        <v>67</v>
      </c>
      <c r="C746" t="s">
        <v>82</v>
      </c>
      <c r="D746" t="s">
        <v>181</v>
      </c>
      <c r="E746" t="s">
        <v>215</v>
      </c>
      <c r="F746" t="s">
        <v>546</v>
      </c>
      <c r="G746" t="s">
        <v>1480</v>
      </c>
      <c r="H746" t="s">
        <v>3141</v>
      </c>
      <c r="I746" t="s">
        <v>3934</v>
      </c>
      <c r="J746" t="s">
        <v>4222</v>
      </c>
      <c r="K746">
        <v>11434</v>
      </c>
      <c r="L746" t="s">
        <v>4275</v>
      </c>
      <c r="M746" t="s">
        <v>4275</v>
      </c>
      <c r="O746" t="s">
        <v>4281</v>
      </c>
      <c r="P746" t="s">
        <v>4944</v>
      </c>
      <c r="Q746" t="s">
        <v>5731</v>
      </c>
      <c r="R746" t="s">
        <v>5753</v>
      </c>
      <c r="S746" t="s">
        <v>5759</v>
      </c>
      <c r="T746" t="s">
        <v>4276</v>
      </c>
      <c r="V746" t="s">
        <v>5768</v>
      </c>
      <c r="W746" t="s">
        <v>5775</v>
      </c>
      <c r="X746" t="s">
        <v>181</v>
      </c>
      <c r="Y746">
        <v>545</v>
      </c>
      <c r="Z746" t="s">
        <v>5803</v>
      </c>
      <c r="AA746" t="s">
        <v>5804</v>
      </c>
      <c r="AB746" t="s">
        <v>5821</v>
      </c>
      <c r="AC746" t="s">
        <v>6512</v>
      </c>
      <c r="AE746" t="s">
        <v>8502</v>
      </c>
      <c r="AF746">
        <v>78</v>
      </c>
      <c r="AG746" t="s">
        <v>9271</v>
      </c>
      <c r="AH746" t="s">
        <v>4280</v>
      </c>
      <c r="AI746">
        <v>3</v>
      </c>
      <c r="AJ746">
        <v>1</v>
      </c>
      <c r="AK746">
        <v>1</v>
      </c>
      <c r="AL746">
        <v>55.29</v>
      </c>
      <c r="AO746" t="s">
        <v>1425</v>
      </c>
      <c r="AP746">
        <v>9100</v>
      </c>
      <c r="AV746">
        <v>1.5</v>
      </c>
      <c r="AW746" t="s">
        <v>73</v>
      </c>
    </row>
    <row r="747" spans="1:49">
      <c r="A747" s="1">
        <f>HYPERLINK("https://cms.ls-nyc.org/matter/dynamic-profile/view/1895881","19-1895881")</f>
        <v>0</v>
      </c>
      <c r="B747" t="s">
        <v>67</v>
      </c>
      <c r="C747" t="s">
        <v>82</v>
      </c>
      <c r="D747" t="s">
        <v>105</v>
      </c>
      <c r="E747" t="s">
        <v>95</v>
      </c>
      <c r="F747" t="s">
        <v>886</v>
      </c>
      <c r="G747" t="s">
        <v>1954</v>
      </c>
      <c r="H747" t="s">
        <v>3142</v>
      </c>
      <c r="I747" t="s">
        <v>3927</v>
      </c>
      <c r="J747" t="s">
        <v>4222</v>
      </c>
      <c r="K747">
        <v>11435</v>
      </c>
      <c r="L747" t="s">
        <v>4275</v>
      </c>
      <c r="M747" t="s">
        <v>4275</v>
      </c>
      <c r="N747" t="s">
        <v>4278</v>
      </c>
      <c r="O747" t="s">
        <v>4283</v>
      </c>
      <c r="P747" t="s">
        <v>4945</v>
      </c>
      <c r="Q747" t="s">
        <v>5731</v>
      </c>
      <c r="R747" t="s">
        <v>5754</v>
      </c>
      <c r="S747" t="s">
        <v>5763</v>
      </c>
      <c r="T747" t="s">
        <v>4276</v>
      </c>
      <c r="V747" t="s">
        <v>5767</v>
      </c>
      <c r="W747" t="s">
        <v>5772</v>
      </c>
      <c r="X747" t="s">
        <v>105</v>
      </c>
      <c r="Y747">
        <v>600</v>
      </c>
      <c r="Z747" t="s">
        <v>5803</v>
      </c>
      <c r="AA747" t="s">
        <v>5804</v>
      </c>
      <c r="AB747" t="s">
        <v>5824</v>
      </c>
      <c r="AC747" t="s">
        <v>6513</v>
      </c>
      <c r="AD747" t="s">
        <v>7289</v>
      </c>
      <c r="AE747" t="s">
        <v>8503</v>
      </c>
      <c r="AF747">
        <v>3</v>
      </c>
      <c r="AG747" t="s">
        <v>9269</v>
      </c>
      <c r="AH747" t="s">
        <v>4280</v>
      </c>
      <c r="AI747">
        <v>11</v>
      </c>
      <c r="AJ747">
        <v>1</v>
      </c>
      <c r="AK747">
        <v>0</v>
      </c>
      <c r="AL747">
        <v>57.65</v>
      </c>
      <c r="AO747" t="s">
        <v>1425</v>
      </c>
      <c r="AP747">
        <v>7200</v>
      </c>
      <c r="AS747" t="s">
        <v>5806</v>
      </c>
      <c r="AT747" t="s">
        <v>9370</v>
      </c>
      <c r="AU747" t="s">
        <v>9488</v>
      </c>
      <c r="AV747">
        <v>3.35</v>
      </c>
      <c r="AW747" t="s">
        <v>54</v>
      </c>
    </row>
    <row r="748" spans="1:49">
      <c r="A748" s="1">
        <f>HYPERLINK("https://cms.ls-nyc.org/matter/dynamic-profile/view/1896815","19-1896815")</f>
        <v>0</v>
      </c>
      <c r="B748" t="s">
        <v>67</v>
      </c>
      <c r="C748" t="s">
        <v>83</v>
      </c>
      <c r="D748" t="s">
        <v>213</v>
      </c>
      <c r="F748" t="s">
        <v>702</v>
      </c>
      <c r="G748" t="s">
        <v>1955</v>
      </c>
      <c r="H748" t="s">
        <v>3024</v>
      </c>
      <c r="I748" t="s">
        <v>3866</v>
      </c>
      <c r="J748" t="s">
        <v>4235</v>
      </c>
      <c r="K748">
        <v>11421</v>
      </c>
      <c r="L748" t="s">
        <v>4275</v>
      </c>
      <c r="M748" t="s">
        <v>4275</v>
      </c>
      <c r="O748" t="s">
        <v>4283</v>
      </c>
      <c r="P748" t="s">
        <v>4946</v>
      </c>
      <c r="Q748" t="s">
        <v>5732</v>
      </c>
      <c r="R748" t="s">
        <v>5751</v>
      </c>
      <c r="T748" t="s">
        <v>4276</v>
      </c>
      <c r="V748" t="s">
        <v>5767</v>
      </c>
      <c r="W748" t="s">
        <v>5772</v>
      </c>
      <c r="X748" t="s">
        <v>213</v>
      </c>
      <c r="Y748">
        <v>2000</v>
      </c>
      <c r="Z748" t="s">
        <v>5803</v>
      </c>
      <c r="AA748" t="s">
        <v>5812</v>
      </c>
      <c r="AC748" t="s">
        <v>6514</v>
      </c>
      <c r="AD748" t="s">
        <v>7567</v>
      </c>
      <c r="AE748" t="s">
        <v>8504</v>
      </c>
      <c r="AF748">
        <v>3</v>
      </c>
      <c r="AG748" t="s">
        <v>9270</v>
      </c>
      <c r="AH748" t="s">
        <v>4280</v>
      </c>
      <c r="AI748">
        <v>1</v>
      </c>
      <c r="AJ748">
        <v>2</v>
      </c>
      <c r="AK748">
        <v>2</v>
      </c>
      <c r="AL748">
        <v>58.87</v>
      </c>
      <c r="AO748" t="s">
        <v>9298</v>
      </c>
      <c r="AP748">
        <v>15160</v>
      </c>
      <c r="AV748">
        <v>24.95</v>
      </c>
      <c r="AW748" t="s">
        <v>54</v>
      </c>
    </row>
    <row r="749" spans="1:49">
      <c r="A749" s="1">
        <f>HYPERLINK("https://cms.ls-nyc.org/matter/dynamic-profile/view/1877083","18-1877083")</f>
        <v>0</v>
      </c>
      <c r="B749" t="s">
        <v>67</v>
      </c>
      <c r="C749" t="s">
        <v>82</v>
      </c>
      <c r="D749" t="s">
        <v>199</v>
      </c>
      <c r="E749" t="s">
        <v>228</v>
      </c>
      <c r="F749" t="s">
        <v>887</v>
      </c>
      <c r="G749" t="s">
        <v>1956</v>
      </c>
      <c r="H749" t="s">
        <v>3143</v>
      </c>
      <c r="I749" t="s">
        <v>4033</v>
      </c>
      <c r="J749" t="s">
        <v>4229</v>
      </c>
      <c r="K749">
        <v>11355</v>
      </c>
      <c r="L749" t="s">
        <v>4275</v>
      </c>
      <c r="M749" t="s">
        <v>4275</v>
      </c>
      <c r="O749" t="s">
        <v>4283</v>
      </c>
      <c r="P749" t="s">
        <v>4280</v>
      </c>
      <c r="Q749" t="s">
        <v>4698</v>
      </c>
      <c r="R749" t="s">
        <v>5753</v>
      </c>
      <c r="S749" t="s">
        <v>5759</v>
      </c>
      <c r="T749" t="s">
        <v>4276</v>
      </c>
      <c r="V749" t="s">
        <v>5767</v>
      </c>
      <c r="W749" t="s">
        <v>5772</v>
      </c>
      <c r="X749" t="s">
        <v>252</v>
      </c>
      <c r="Y749">
        <v>665</v>
      </c>
      <c r="Z749" t="s">
        <v>5803</v>
      </c>
      <c r="AA749" t="s">
        <v>5811</v>
      </c>
      <c r="AB749" t="s">
        <v>5821</v>
      </c>
      <c r="AC749" t="s">
        <v>6515</v>
      </c>
      <c r="AD749" t="s">
        <v>4280</v>
      </c>
      <c r="AE749" t="s">
        <v>8505</v>
      </c>
      <c r="AF749">
        <v>79</v>
      </c>
      <c r="AG749" t="s">
        <v>9275</v>
      </c>
      <c r="AH749" t="s">
        <v>4280</v>
      </c>
      <c r="AI749">
        <v>8</v>
      </c>
      <c r="AJ749">
        <v>2</v>
      </c>
      <c r="AK749">
        <v>0</v>
      </c>
      <c r="AL749">
        <v>60.51</v>
      </c>
      <c r="AO749" t="s">
        <v>9304</v>
      </c>
      <c r="AP749">
        <v>9960</v>
      </c>
      <c r="AV749">
        <v>1.4</v>
      </c>
      <c r="AW749" t="s">
        <v>67</v>
      </c>
    </row>
    <row r="750" spans="1:49">
      <c r="A750" s="1">
        <f>HYPERLINK("https://cms.ls-nyc.org/matter/dynamic-profile/view/1899950","19-1899950")</f>
        <v>0</v>
      </c>
      <c r="B750" t="s">
        <v>67</v>
      </c>
      <c r="C750" t="s">
        <v>83</v>
      </c>
      <c r="D750" t="s">
        <v>99</v>
      </c>
      <c r="F750" t="s">
        <v>888</v>
      </c>
      <c r="G750" t="s">
        <v>1957</v>
      </c>
      <c r="H750" t="s">
        <v>3144</v>
      </c>
      <c r="I750" t="s">
        <v>4070</v>
      </c>
      <c r="J750" t="s">
        <v>4229</v>
      </c>
      <c r="K750">
        <v>11354</v>
      </c>
      <c r="L750" t="s">
        <v>4275</v>
      </c>
      <c r="M750" t="s">
        <v>4277</v>
      </c>
      <c r="N750" t="s">
        <v>4278</v>
      </c>
      <c r="O750" t="s">
        <v>4283</v>
      </c>
      <c r="P750" t="s">
        <v>4947</v>
      </c>
      <c r="Q750" t="s">
        <v>5733</v>
      </c>
      <c r="R750" t="s">
        <v>5751</v>
      </c>
      <c r="T750" t="s">
        <v>4276</v>
      </c>
      <c r="V750" t="s">
        <v>5767</v>
      </c>
      <c r="W750" t="s">
        <v>5772</v>
      </c>
      <c r="X750" t="s">
        <v>99</v>
      </c>
      <c r="Y750">
        <v>1100</v>
      </c>
      <c r="Z750" t="s">
        <v>5803</v>
      </c>
      <c r="AA750" t="s">
        <v>5804</v>
      </c>
      <c r="AC750" t="s">
        <v>6516</v>
      </c>
      <c r="AD750" t="s">
        <v>7568</v>
      </c>
      <c r="AE750" t="s">
        <v>8506</v>
      </c>
      <c r="AF750">
        <v>200</v>
      </c>
      <c r="AG750" t="s">
        <v>9272</v>
      </c>
      <c r="AH750" t="s">
        <v>9287</v>
      </c>
      <c r="AI750">
        <v>58</v>
      </c>
      <c r="AJ750">
        <v>1</v>
      </c>
      <c r="AK750">
        <v>0</v>
      </c>
      <c r="AL750">
        <v>61.3</v>
      </c>
      <c r="AO750" t="s">
        <v>9298</v>
      </c>
      <c r="AP750">
        <v>7656</v>
      </c>
      <c r="AV750">
        <v>2.65</v>
      </c>
      <c r="AW750" t="s">
        <v>9557</v>
      </c>
    </row>
    <row r="751" spans="1:49">
      <c r="A751" s="1">
        <f>HYPERLINK("https://cms.ls-nyc.org/matter/dynamic-profile/view/1891443","19-1891443")</f>
        <v>0</v>
      </c>
      <c r="B751" t="s">
        <v>67</v>
      </c>
      <c r="C751" t="s">
        <v>82</v>
      </c>
      <c r="D751" t="s">
        <v>115</v>
      </c>
      <c r="E751" t="s">
        <v>95</v>
      </c>
      <c r="F751" t="s">
        <v>458</v>
      </c>
      <c r="G751" t="s">
        <v>1510</v>
      </c>
      <c r="H751" t="s">
        <v>2636</v>
      </c>
      <c r="I751" t="s">
        <v>3918</v>
      </c>
      <c r="J751" t="s">
        <v>4240</v>
      </c>
      <c r="K751">
        <v>11373</v>
      </c>
      <c r="L751" t="s">
        <v>4275</v>
      </c>
      <c r="M751" t="s">
        <v>4275</v>
      </c>
      <c r="N751" t="s">
        <v>4278</v>
      </c>
      <c r="O751" t="s">
        <v>4281</v>
      </c>
      <c r="P751" t="s">
        <v>4434</v>
      </c>
      <c r="Q751" t="s">
        <v>5731</v>
      </c>
      <c r="R751" t="s">
        <v>5751</v>
      </c>
      <c r="S751" t="s">
        <v>5758</v>
      </c>
      <c r="T751" t="s">
        <v>4276</v>
      </c>
      <c r="V751" t="s">
        <v>5767</v>
      </c>
      <c r="W751" t="s">
        <v>5774</v>
      </c>
      <c r="X751" t="s">
        <v>115</v>
      </c>
      <c r="Y751">
        <v>1109.21</v>
      </c>
      <c r="Z751" t="s">
        <v>5803</v>
      </c>
      <c r="AA751" t="s">
        <v>5804</v>
      </c>
      <c r="AB751" t="s">
        <v>5820</v>
      </c>
      <c r="AC751" t="s">
        <v>5979</v>
      </c>
      <c r="AD751" t="s">
        <v>7348</v>
      </c>
      <c r="AE751" t="s">
        <v>7987</v>
      </c>
      <c r="AF751">
        <v>125</v>
      </c>
      <c r="AG751" t="s">
        <v>9272</v>
      </c>
      <c r="AH751" t="s">
        <v>9287</v>
      </c>
      <c r="AI751">
        <v>25</v>
      </c>
      <c r="AJ751">
        <v>1</v>
      </c>
      <c r="AK751">
        <v>0</v>
      </c>
      <c r="AL751">
        <v>63.7</v>
      </c>
      <c r="AO751" t="s">
        <v>1425</v>
      </c>
      <c r="AP751">
        <v>7956</v>
      </c>
      <c r="AR751" t="s">
        <v>9329</v>
      </c>
      <c r="AS751" t="s">
        <v>9341</v>
      </c>
      <c r="AT751" t="s">
        <v>9369</v>
      </c>
      <c r="AU751" t="s">
        <v>9434</v>
      </c>
      <c r="AV751">
        <v>13.6</v>
      </c>
      <c r="AW751" t="s">
        <v>72</v>
      </c>
    </row>
    <row r="752" spans="1:49">
      <c r="A752" s="1">
        <f>HYPERLINK("https://cms.ls-nyc.org/matter/dynamic-profile/view/1881230","18-1881230")</f>
        <v>0</v>
      </c>
      <c r="B752" t="s">
        <v>67</v>
      </c>
      <c r="C752" t="s">
        <v>82</v>
      </c>
      <c r="D752" t="s">
        <v>140</v>
      </c>
      <c r="E752" t="s">
        <v>125</v>
      </c>
      <c r="F752" t="s">
        <v>889</v>
      </c>
      <c r="G752" t="s">
        <v>1672</v>
      </c>
      <c r="H752" t="s">
        <v>3145</v>
      </c>
      <c r="I752" t="s">
        <v>4038</v>
      </c>
      <c r="J752" t="s">
        <v>4229</v>
      </c>
      <c r="K752">
        <v>11355</v>
      </c>
      <c r="L752" t="s">
        <v>4275</v>
      </c>
      <c r="M752" t="s">
        <v>4275</v>
      </c>
      <c r="O752" t="s">
        <v>4283</v>
      </c>
      <c r="P752" t="s">
        <v>4948</v>
      </c>
      <c r="Q752" t="s">
        <v>5732</v>
      </c>
      <c r="R752" t="s">
        <v>5756</v>
      </c>
      <c r="S752" t="s">
        <v>5761</v>
      </c>
      <c r="T752" t="s">
        <v>4276</v>
      </c>
      <c r="V752" t="s">
        <v>5767</v>
      </c>
      <c r="W752" t="s">
        <v>5772</v>
      </c>
      <c r="X752" t="s">
        <v>140</v>
      </c>
      <c r="Y752">
        <v>530</v>
      </c>
      <c r="Z752" t="s">
        <v>5803</v>
      </c>
      <c r="AA752" t="s">
        <v>5804</v>
      </c>
      <c r="AB752" t="s">
        <v>5826</v>
      </c>
      <c r="AC752" t="s">
        <v>6517</v>
      </c>
      <c r="AE752" t="s">
        <v>8507</v>
      </c>
      <c r="AF752">
        <v>36</v>
      </c>
      <c r="AG752" t="s">
        <v>9270</v>
      </c>
      <c r="AH752" t="s">
        <v>4280</v>
      </c>
      <c r="AI752">
        <v>6</v>
      </c>
      <c r="AJ752">
        <v>1</v>
      </c>
      <c r="AK752">
        <v>0</v>
      </c>
      <c r="AL752">
        <v>69.19</v>
      </c>
      <c r="AO752" t="s">
        <v>9304</v>
      </c>
      <c r="AP752">
        <v>8400</v>
      </c>
      <c r="AV752">
        <v>8.550000000000001</v>
      </c>
      <c r="AW752" t="s">
        <v>54</v>
      </c>
    </row>
    <row r="753" spans="1:49">
      <c r="A753" s="1">
        <f>HYPERLINK("https://cms.ls-nyc.org/matter/dynamic-profile/view/1877948","18-1877948")</f>
        <v>0</v>
      </c>
      <c r="B753" t="s">
        <v>67</v>
      </c>
      <c r="C753" t="s">
        <v>82</v>
      </c>
      <c r="D753" t="s">
        <v>126</v>
      </c>
      <c r="E753" t="s">
        <v>163</v>
      </c>
      <c r="F753" t="s">
        <v>412</v>
      </c>
      <c r="G753" t="s">
        <v>1958</v>
      </c>
      <c r="H753" t="s">
        <v>3146</v>
      </c>
      <c r="I753">
        <v>15</v>
      </c>
      <c r="J753" t="s">
        <v>4269</v>
      </c>
      <c r="K753">
        <v>11101</v>
      </c>
      <c r="L753" t="s">
        <v>4275</v>
      </c>
      <c r="M753" t="s">
        <v>4275</v>
      </c>
      <c r="O753" t="s">
        <v>4283</v>
      </c>
      <c r="P753" t="s">
        <v>4949</v>
      </c>
      <c r="Q753" t="s">
        <v>5731</v>
      </c>
      <c r="R753" t="s">
        <v>5751</v>
      </c>
      <c r="S753" t="s">
        <v>5758</v>
      </c>
      <c r="T753" t="s">
        <v>4276</v>
      </c>
      <c r="V753" t="s">
        <v>5767</v>
      </c>
      <c r="W753" t="s">
        <v>5772</v>
      </c>
      <c r="X753" t="s">
        <v>126</v>
      </c>
      <c r="Y753">
        <v>1400</v>
      </c>
      <c r="Z753" t="s">
        <v>5803</v>
      </c>
      <c r="AA753" t="s">
        <v>5804</v>
      </c>
      <c r="AB753" t="s">
        <v>5820</v>
      </c>
      <c r="AC753" t="s">
        <v>6518</v>
      </c>
      <c r="AD753" t="s">
        <v>7569</v>
      </c>
      <c r="AE753" t="s">
        <v>8508</v>
      </c>
      <c r="AF753">
        <v>16</v>
      </c>
      <c r="AG753" t="s">
        <v>9272</v>
      </c>
      <c r="AH753" t="s">
        <v>4280</v>
      </c>
      <c r="AI753">
        <v>6</v>
      </c>
      <c r="AJ753">
        <v>1</v>
      </c>
      <c r="AK753">
        <v>2</v>
      </c>
      <c r="AL753">
        <v>72.18000000000001</v>
      </c>
      <c r="AO753" t="s">
        <v>1425</v>
      </c>
      <c r="AP753">
        <v>15000</v>
      </c>
      <c r="AR753" t="s">
        <v>9327</v>
      </c>
      <c r="AS753" t="s">
        <v>9336</v>
      </c>
      <c r="AT753" t="s">
        <v>9369</v>
      </c>
      <c r="AU753" t="s">
        <v>9489</v>
      </c>
      <c r="AV753">
        <v>27.1</v>
      </c>
      <c r="AW753" t="s">
        <v>73</v>
      </c>
    </row>
    <row r="754" spans="1:49">
      <c r="A754" s="1">
        <f>HYPERLINK("https://cms.ls-nyc.org/matter/dynamic-profile/view/1883057","18-1883057")</f>
        <v>0</v>
      </c>
      <c r="B754" t="s">
        <v>67</v>
      </c>
      <c r="C754" t="s">
        <v>83</v>
      </c>
      <c r="D754" t="s">
        <v>223</v>
      </c>
      <c r="F754" t="s">
        <v>375</v>
      </c>
      <c r="G754" t="s">
        <v>1959</v>
      </c>
      <c r="H754" t="s">
        <v>3147</v>
      </c>
      <c r="I754" t="s">
        <v>3978</v>
      </c>
      <c r="J754" t="s">
        <v>4249</v>
      </c>
      <c r="K754">
        <v>11427</v>
      </c>
      <c r="L754" t="s">
        <v>4275</v>
      </c>
      <c r="M754" t="s">
        <v>4275</v>
      </c>
      <c r="O754" t="s">
        <v>4283</v>
      </c>
      <c r="P754" t="s">
        <v>4950</v>
      </c>
      <c r="Q754" t="s">
        <v>5732</v>
      </c>
      <c r="R754" t="s">
        <v>5751</v>
      </c>
      <c r="T754" t="s">
        <v>4276</v>
      </c>
      <c r="V754" t="s">
        <v>5767</v>
      </c>
      <c r="W754" t="s">
        <v>5772</v>
      </c>
      <c r="X754" t="s">
        <v>223</v>
      </c>
      <c r="Y754">
        <v>1073</v>
      </c>
      <c r="Z754" t="s">
        <v>5803</v>
      </c>
      <c r="AA754" t="s">
        <v>5804</v>
      </c>
      <c r="AC754" t="s">
        <v>6519</v>
      </c>
      <c r="AE754" t="s">
        <v>8509</v>
      </c>
      <c r="AF754">
        <v>8</v>
      </c>
      <c r="AG754" t="s">
        <v>9272</v>
      </c>
      <c r="AH754" t="s">
        <v>4280</v>
      </c>
      <c r="AI754">
        <v>23</v>
      </c>
      <c r="AJ754">
        <v>1</v>
      </c>
      <c r="AK754">
        <v>0</v>
      </c>
      <c r="AL754">
        <v>74.14</v>
      </c>
      <c r="AO754" t="s">
        <v>1425</v>
      </c>
      <c r="AP754">
        <v>9000</v>
      </c>
      <c r="AV754">
        <v>41.7</v>
      </c>
      <c r="AW754" t="s">
        <v>73</v>
      </c>
    </row>
    <row r="755" spans="1:49">
      <c r="A755" s="1">
        <f>HYPERLINK("https://cms.ls-nyc.org/matter/dynamic-profile/view/1898229","19-1898229")</f>
        <v>0</v>
      </c>
      <c r="B755" t="s">
        <v>67</v>
      </c>
      <c r="C755" t="s">
        <v>83</v>
      </c>
      <c r="D755" t="s">
        <v>172</v>
      </c>
      <c r="F755" t="s">
        <v>890</v>
      </c>
      <c r="G755" t="s">
        <v>1960</v>
      </c>
      <c r="H755" t="s">
        <v>3148</v>
      </c>
      <c r="I755">
        <v>404</v>
      </c>
      <c r="J755" t="s">
        <v>4229</v>
      </c>
      <c r="K755">
        <v>11354</v>
      </c>
      <c r="L755" t="s">
        <v>4275</v>
      </c>
      <c r="M755" t="s">
        <v>4275</v>
      </c>
      <c r="N755" t="s">
        <v>4278</v>
      </c>
      <c r="O755" t="s">
        <v>4283</v>
      </c>
      <c r="P755" t="s">
        <v>4951</v>
      </c>
      <c r="Q755" t="s">
        <v>5731</v>
      </c>
      <c r="R755" t="s">
        <v>5751</v>
      </c>
      <c r="T755" t="s">
        <v>4276</v>
      </c>
      <c r="V755" t="s">
        <v>5767</v>
      </c>
      <c r="W755" t="s">
        <v>5772</v>
      </c>
      <c r="X755" t="s">
        <v>172</v>
      </c>
      <c r="Y755">
        <v>1355.8</v>
      </c>
      <c r="Z755" t="s">
        <v>5803</v>
      </c>
      <c r="AA755" t="s">
        <v>5806</v>
      </c>
      <c r="AC755" t="s">
        <v>6520</v>
      </c>
      <c r="AE755" t="s">
        <v>8510</v>
      </c>
      <c r="AF755">
        <v>130</v>
      </c>
      <c r="AG755" t="s">
        <v>9272</v>
      </c>
      <c r="AH755" t="s">
        <v>9287</v>
      </c>
      <c r="AI755">
        <v>20</v>
      </c>
      <c r="AJ755">
        <v>1</v>
      </c>
      <c r="AK755">
        <v>0</v>
      </c>
      <c r="AL755">
        <v>75.90000000000001</v>
      </c>
      <c r="AO755" t="s">
        <v>1425</v>
      </c>
      <c r="AP755">
        <v>9480</v>
      </c>
      <c r="AR755" t="s">
        <v>9327</v>
      </c>
      <c r="AS755" t="s">
        <v>9336</v>
      </c>
      <c r="AT755" t="s">
        <v>9369</v>
      </c>
      <c r="AU755" t="s">
        <v>9445</v>
      </c>
      <c r="AV755">
        <v>2.8</v>
      </c>
      <c r="AW755" t="s">
        <v>67</v>
      </c>
    </row>
    <row r="756" spans="1:49">
      <c r="A756" s="1">
        <f>HYPERLINK("https://cms.ls-nyc.org/matter/dynamic-profile/view/1879512","18-1879512")</f>
        <v>0</v>
      </c>
      <c r="B756" t="s">
        <v>67</v>
      </c>
      <c r="C756" t="s">
        <v>82</v>
      </c>
      <c r="D756" t="s">
        <v>128</v>
      </c>
      <c r="E756" t="s">
        <v>306</v>
      </c>
      <c r="F756" t="s">
        <v>891</v>
      </c>
      <c r="G756" t="s">
        <v>1961</v>
      </c>
      <c r="H756" t="s">
        <v>2688</v>
      </c>
      <c r="I756" t="s">
        <v>4071</v>
      </c>
      <c r="J756" t="s">
        <v>4243</v>
      </c>
      <c r="K756">
        <v>11691</v>
      </c>
      <c r="L756" t="s">
        <v>4275</v>
      </c>
      <c r="M756" t="s">
        <v>4275</v>
      </c>
      <c r="O756" t="s">
        <v>4283</v>
      </c>
      <c r="P756" t="s">
        <v>4952</v>
      </c>
      <c r="Q756" t="s">
        <v>5731</v>
      </c>
      <c r="R756" t="s">
        <v>5753</v>
      </c>
      <c r="S756" t="s">
        <v>5759</v>
      </c>
      <c r="T756" t="s">
        <v>4276</v>
      </c>
      <c r="V756" t="s">
        <v>5767</v>
      </c>
      <c r="W756" t="s">
        <v>5773</v>
      </c>
      <c r="X756" t="s">
        <v>128</v>
      </c>
      <c r="Y756">
        <v>1146</v>
      </c>
      <c r="Z756" t="s">
        <v>5803</v>
      </c>
      <c r="AA756" t="s">
        <v>5804</v>
      </c>
      <c r="AB756" t="s">
        <v>5821</v>
      </c>
      <c r="AC756" t="s">
        <v>6521</v>
      </c>
      <c r="AD756" t="s">
        <v>7570</v>
      </c>
      <c r="AE756" t="s">
        <v>8511</v>
      </c>
      <c r="AF756">
        <v>324</v>
      </c>
      <c r="AG756" t="s">
        <v>9272</v>
      </c>
      <c r="AH756" t="s">
        <v>4280</v>
      </c>
      <c r="AI756">
        <v>6</v>
      </c>
      <c r="AJ756">
        <v>1</v>
      </c>
      <c r="AK756">
        <v>3</v>
      </c>
      <c r="AL756">
        <v>79.68000000000001</v>
      </c>
      <c r="AO756" t="s">
        <v>1425</v>
      </c>
      <c r="AP756">
        <v>20000</v>
      </c>
      <c r="AV756">
        <v>1.1</v>
      </c>
      <c r="AW756" t="s">
        <v>74</v>
      </c>
    </row>
    <row r="757" spans="1:49">
      <c r="A757" s="1">
        <f>HYPERLINK("https://cms.ls-nyc.org/matter/dynamic-profile/view/1891647","19-1891647")</f>
        <v>0</v>
      </c>
      <c r="B757" t="s">
        <v>67</v>
      </c>
      <c r="C757" t="s">
        <v>82</v>
      </c>
      <c r="D757" t="s">
        <v>233</v>
      </c>
      <c r="E757" t="s">
        <v>99</v>
      </c>
      <c r="F757" t="s">
        <v>892</v>
      </c>
      <c r="G757" t="s">
        <v>1962</v>
      </c>
      <c r="H757" t="s">
        <v>3149</v>
      </c>
      <c r="I757" t="s">
        <v>3871</v>
      </c>
      <c r="J757" t="s">
        <v>4229</v>
      </c>
      <c r="K757">
        <v>11354</v>
      </c>
      <c r="L757" t="s">
        <v>4275</v>
      </c>
      <c r="M757" t="s">
        <v>4275</v>
      </c>
      <c r="N757" t="s">
        <v>4278</v>
      </c>
      <c r="O757" t="s">
        <v>4283</v>
      </c>
      <c r="P757" t="s">
        <v>4280</v>
      </c>
      <c r="Q757" t="s">
        <v>4698</v>
      </c>
      <c r="R757" t="s">
        <v>5754</v>
      </c>
      <c r="S757" t="s">
        <v>5763</v>
      </c>
      <c r="T757" t="s">
        <v>4276</v>
      </c>
      <c r="V757" t="s">
        <v>5767</v>
      </c>
      <c r="W757" t="s">
        <v>5772</v>
      </c>
      <c r="X757" t="s">
        <v>233</v>
      </c>
      <c r="Y757">
        <v>1214</v>
      </c>
      <c r="Z757" t="s">
        <v>5803</v>
      </c>
      <c r="AA757" t="s">
        <v>5807</v>
      </c>
      <c r="AB757" t="s">
        <v>5824</v>
      </c>
      <c r="AC757" t="s">
        <v>6522</v>
      </c>
      <c r="AD757" t="s">
        <v>7571</v>
      </c>
      <c r="AE757" t="s">
        <v>8512</v>
      </c>
      <c r="AF757">
        <v>8</v>
      </c>
      <c r="AG757" t="s">
        <v>9269</v>
      </c>
      <c r="AH757" t="s">
        <v>9288</v>
      </c>
      <c r="AI757">
        <v>6</v>
      </c>
      <c r="AJ757">
        <v>1</v>
      </c>
      <c r="AK757">
        <v>0</v>
      </c>
      <c r="AL757">
        <v>80.98999999999999</v>
      </c>
      <c r="AO757" t="s">
        <v>1425</v>
      </c>
      <c r="AP757">
        <v>10116</v>
      </c>
      <c r="AS757" t="s">
        <v>5806</v>
      </c>
      <c r="AT757" t="s">
        <v>9369</v>
      </c>
      <c r="AU757" t="s">
        <v>9419</v>
      </c>
      <c r="AV757">
        <v>2.15</v>
      </c>
      <c r="AW757" t="s">
        <v>67</v>
      </c>
    </row>
    <row r="758" spans="1:49">
      <c r="A758" s="1">
        <f>HYPERLINK("https://cms.ls-nyc.org/matter/dynamic-profile/view/1898061","19-1898061")</f>
        <v>0</v>
      </c>
      <c r="B758" t="s">
        <v>67</v>
      </c>
      <c r="C758" t="s">
        <v>83</v>
      </c>
      <c r="D758" t="s">
        <v>123</v>
      </c>
      <c r="F758" t="s">
        <v>543</v>
      </c>
      <c r="G758" t="s">
        <v>1963</v>
      </c>
      <c r="H758" t="s">
        <v>3150</v>
      </c>
      <c r="J758" t="s">
        <v>4258</v>
      </c>
      <c r="K758">
        <v>11369</v>
      </c>
      <c r="L758" t="s">
        <v>4275</v>
      </c>
      <c r="M758" t="s">
        <v>4275</v>
      </c>
      <c r="O758" t="s">
        <v>4283</v>
      </c>
      <c r="P758" t="s">
        <v>4953</v>
      </c>
      <c r="Q758" t="s">
        <v>5732</v>
      </c>
      <c r="R758" t="s">
        <v>5751</v>
      </c>
      <c r="T758" t="s">
        <v>4276</v>
      </c>
      <c r="V758" t="s">
        <v>5767</v>
      </c>
      <c r="W758" t="s">
        <v>5772</v>
      </c>
      <c r="X758" t="s">
        <v>123</v>
      </c>
      <c r="Y758">
        <v>800</v>
      </c>
      <c r="Z758" t="s">
        <v>5803</v>
      </c>
      <c r="AA758" t="s">
        <v>5804</v>
      </c>
      <c r="AC758" t="s">
        <v>6523</v>
      </c>
      <c r="AE758" t="s">
        <v>8513</v>
      </c>
      <c r="AF758">
        <v>0</v>
      </c>
      <c r="AI758">
        <v>10</v>
      </c>
      <c r="AJ758">
        <v>1</v>
      </c>
      <c r="AK758">
        <v>0</v>
      </c>
      <c r="AL758">
        <v>81.76000000000001</v>
      </c>
      <c r="AO758" t="s">
        <v>9298</v>
      </c>
      <c r="AP758">
        <v>10212</v>
      </c>
      <c r="AV758">
        <v>12.6</v>
      </c>
      <c r="AW758" t="s">
        <v>9547</v>
      </c>
    </row>
    <row r="759" spans="1:49">
      <c r="A759" s="1">
        <f>HYPERLINK("https://cms.ls-nyc.org/matter/dynamic-profile/view/1879985","18-1879985")</f>
        <v>0</v>
      </c>
      <c r="B759" t="s">
        <v>67</v>
      </c>
      <c r="C759" t="s">
        <v>82</v>
      </c>
      <c r="D759" t="s">
        <v>92</v>
      </c>
      <c r="E759" t="s">
        <v>306</v>
      </c>
      <c r="F759" t="s">
        <v>329</v>
      </c>
      <c r="G759" t="s">
        <v>1738</v>
      </c>
      <c r="H759" t="s">
        <v>3151</v>
      </c>
      <c r="I759" t="s">
        <v>4072</v>
      </c>
      <c r="J759" t="s">
        <v>4271</v>
      </c>
      <c r="K759">
        <v>11001</v>
      </c>
      <c r="L759" t="s">
        <v>4275</v>
      </c>
      <c r="M759" t="s">
        <v>4275</v>
      </c>
      <c r="O759" t="s">
        <v>4283</v>
      </c>
      <c r="P759" t="s">
        <v>4954</v>
      </c>
      <c r="Q759" t="s">
        <v>5731</v>
      </c>
      <c r="R759" t="s">
        <v>5753</v>
      </c>
      <c r="S759" t="s">
        <v>5759</v>
      </c>
      <c r="T759" t="s">
        <v>4276</v>
      </c>
      <c r="V759" t="s">
        <v>5767</v>
      </c>
      <c r="W759" t="s">
        <v>5772</v>
      </c>
      <c r="X759" t="s">
        <v>92</v>
      </c>
      <c r="Y759">
        <v>1600</v>
      </c>
      <c r="Z759" t="s">
        <v>5803</v>
      </c>
      <c r="AA759" t="s">
        <v>5804</v>
      </c>
      <c r="AB759" t="s">
        <v>5821</v>
      </c>
      <c r="AC759" t="s">
        <v>6524</v>
      </c>
      <c r="AE759" t="s">
        <v>8514</v>
      </c>
      <c r="AF759">
        <v>2</v>
      </c>
      <c r="AG759" t="s">
        <v>9269</v>
      </c>
      <c r="AH759" t="s">
        <v>4280</v>
      </c>
      <c r="AI759">
        <v>3</v>
      </c>
      <c r="AJ759">
        <v>3</v>
      </c>
      <c r="AK759">
        <v>0</v>
      </c>
      <c r="AL759">
        <v>81.86</v>
      </c>
      <c r="AO759" t="s">
        <v>1425</v>
      </c>
      <c r="AP759">
        <v>17010</v>
      </c>
      <c r="AV759">
        <v>1.8</v>
      </c>
      <c r="AW759" t="s">
        <v>73</v>
      </c>
    </row>
    <row r="760" spans="1:49">
      <c r="A760" s="1">
        <f>HYPERLINK("https://cms.ls-nyc.org/matter/dynamic-profile/view/1893105","19-1893105")</f>
        <v>0</v>
      </c>
      <c r="B760" t="s">
        <v>67</v>
      </c>
      <c r="C760" t="s">
        <v>82</v>
      </c>
      <c r="D760" t="s">
        <v>114</v>
      </c>
      <c r="E760" t="s">
        <v>99</v>
      </c>
      <c r="F760" t="s">
        <v>376</v>
      </c>
      <c r="G760" t="s">
        <v>1964</v>
      </c>
      <c r="H760" t="s">
        <v>3152</v>
      </c>
      <c r="I760" t="s">
        <v>4073</v>
      </c>
      <c r="J760" t="s">
        <v>4222</v>
      </c>
      <c r="K760">
        <v>11435</v>
      </c>
      <c r="L760" t="s">
        <v>4275</v>
      </c>
      <c r="M760" t="s">
        <v>4275</v>
      </c>
      <c r="N760" t="s">
        <v>4278</v>
      </c>
      <c r="O760" t="s">
        <v>4282</v>
      </c>
      <c r="P760" t="s">
        <v>4955</v>
      </c>
      <c r="Q760" t="s">
        <v>5731</v>
      </c>
      <c r="R760" t="s">
        <v>5751</v>
      </c>
      <c r="S760" t="s">
        <v>5758</v>
      </c>
      <c r="T760" t="s">
        <v>4276</v>
      </c>
      <c r="V760" t="s">
        <v>5767</v>
      </c>
      <c r="W760" t="s">
        <v>5775</v>
      </c>
      <c r="X760" t="s">
        <v>114</v>
      </c>
      <c r="Y760">
        <v>1625</v>
      </c>
      <c r="Z760" t="s">
        <v>5803</v>
      </c>
      <c r="AA760" t="s">
        <v>5804</v>
      </c>
      <c r="AB760" t="s">
        <v>5820</v>
      </c>
      <c r="AC760" t="s">
        <v>6525</v>
      </c>
      <c r="AD760" t="s">
        <v>7289</v>
      </c>
      <c r="AE760" t="s">
        <v>8515</v>
      </c>
      <c r="AF760">
        <v>48</v>
      </c>
      <c r="AG760" t="s">
        <v>9272</v>
      </c>
      <c r="AH760" t="s">
        <v>4280</v>
      </c>
      <c r="AI760">
        <v>12</v>
      </c>
      <c r="AJ760">
        <v>2</v>
      </c>
      <c r="AK760">
        <v>3</v>
      </c>
      <c r="AL760">
        <v>82.86</v>
      </c>
      <c r="AO760" t="s">
        <v>9298</v>
      </c>
      <c r="AP760">
        <v>25000</v>
      </c>
      <c r="AR760" t="s">
        <v>9328</v>
      </c>
      <c r="AS760" t="s">
        <v>9336</v>
      </c>
      <c r="AT760" t="s">
        <v>9369</v>
      </c>
      <c r="AU760" t="s">
        <v>9490</v>
      </c>
      <c r="AV760">
        <v>14.5</v>
      </c>
      <c r="AW760" t="s">
        <v>9547</v>
      </c>
    </row>
    <row r="761" spans="1:49">
      <c r="A761" s="1">
        <f>HYPERLINK("https://cms.ls-nyc.org/matter/dynamic-profile/view/1872452","18-1872452")</f>
        <v>0</v>
      </c>
      <c r="B761" t="s">
        <v>67</v>
      </c>
      <c r="C761" t="s">
        <v>82</v>
      </c>
      <c r="D761" t="s">
        <v>195</v>
      </c>
      <c r="E761" t="s">
        <v>293</v>
      </c>
      <c r="F761" t="s">
        <v>375</v>
      </c>
      <c r="G761" t="s">
        <v>1959</v>
      </c>
      <c r="H761" t="s">
        <v>3147</v>
      </c>
      <c r="I761" t="s">
        <v>3978</v>
      </c>
      <c r="J761" t="s">
        <v>4249</v>
      </c>
      <c r="K761">
        <v>11427</v>
      </c>
      <c r="L761" t="s">
        <v>4275</v>
      </c>
      <c r="M761" t="s">
        <v>4275</v>
      </c>
      <c r="O761" t="s">
        <v>4283</v>
      </c>
      <c r="P761" t="s">
        <v>4956</v>
      </c>
      <c r="Q761" t="s">
        <v>5731</v>
      </c>
      <c r="R761" t="s">
        <v>5751</v>
      </c>
      <c r="S761" t="s">
        <v>5764</v>
      </c>
      <c r="T761" t="s">
        <v>4276</v>
      </c>
      <c r="V761" t="s">
        <v>5767</v>
      </c>
      <c r="W761" t="s">
        <v>5772</v>
      </c>
      <c r="X761" t="s">
        <v>195</v>
      </c>
      <c r="Y761">
        <v>1073</v>
      </c>
      <c r="Z761" t="s">
        <v>5803</v>
      </c>
      <c r="AA761" t="s">
        <v>5804</v>
      </c>
      <c r="AB761" t="s">
        <v>5820</v>
      </c>
      <c r="AC761" t="s">
        <v>6519</v>
      </c>
      <c r="AD761" t="s">
        <v>4280</v>
      </c>
      <c r="AE761" t="s">
        <v>8509</v>
      </c>
      <c r="AF761">
        <v>4</v>
      </c>
      <c r="AG761" t="s">
        <v>9272</v>
      </c>
      <c r="AH761" t="s">
        <v>4280</v>
      </c>
      <c r="AI761">
        <v>23</v>
      </c>
      <c r="AJ761">
        <v>1</v>
      </c>
      <c r="AK761">
        <v>0</v>
      </c>
      <c r="AL761">
        <v>83.03</v>
      </c>
      <c r="AO761" t="s">
        <v>1425</v>
      </c>
      <c r="AP761">
        <v>10080</v>
      </c>
      <c r="AR761" t="s">
        <v>9327</v>
      </c>
      <c r="AS761" t="s">
        <v>9336</v>
      </c>
      <c r="AT761" t="s">
        <v>9369</v>
      </c>
      <c r="AU761" t="s">
        <v>9491</v>
      </c>
      <c r="AV761">
        <v>3.1</v>
      </c>
      <c r="AW761" t="s">
        <v>54</v>
      </c>
    </row>
    <row r="762" spans="1:49">
      <c r="A762" s="1">
        <f>HYPERLINK("https://cms.ls-nyc.org/matter/dynamic-profile/view/1892088","19-1892088")</f>
        <v>0</v>
      </c>
      <c r="B762" t="s">
        <v>67</v>
      </c>
      <c r="C762" t="s">
        <v>82</v>
      </c>
      <c r="D762" t="s">
        <v>89</v>
      </c>
      <c r="E762" t="s">
        <v>95</v>
      </c>
      <c r="F762" t="s">
        <v>327</v>
      </c>
      <c r="G762" t="s">
        <v>1965</v>
      </c>
      <c r="H762" t="s">
        <v>3153</v>
      </c>
      <c r="I762">
        <v>1</v>
      </c>
      <c r="J762" t="s">
        <v>4225</v>
      </c>
      <c r="K762">
        <v>11385</v>
      </c>
      <c r="L762" t="s">
        <v>4275</v>
      </c>
      <c r="M762" t="s">
        <v>4275</v>
      </c>
      <c r="N762" t="s">
        <v>4278</v>
      </c>
      <c r="O762" t="s">
        <v>4281</v>
      </c>
      <c r="P762" t="s">
        <v>4957</v>
      </c>
      <c r="Q762" t="s">
        <v>5732</v>
      </c>
      <c r="R762" t="s">
        <v>5751</v>
      </c>
      <c r="S762" t="s">
        <v>5758</v>
      </c>
      <c r="T762" t="s">
        <v>4276</v>
      </c>
      <c r="V762" t="s">
        <v>5767</v>
      </c>
      <c r="W762" t="s">
        <v>5772</v>
      </c>
      <c r="X762" t="s">
        <v>89</v>
      </c>
      <c r="Y762">
        <v>1008</v>
      </c>
      <c r="Z762" t="s">
        <v>5803</v>
      </c>
      <c r="AA762" t="s">
        <v>5805</v>
      </c>
      <c r="AB762" t="s">
        <v>5820</v>
      </c>
      <c r="AC762" t="s">
        <v>6526</v>
      </c>
      <c r="AD762" t="s">
        <v>7289</v>
      </c>
      <c r="AE762" t="s">
        <v>8516</v>
      </c>
      <c r="AF762">
        <v>6</v>
      </c>
      <c r="AG762" t="s">
        <v>9272</v>
      </c>
      <c r="AH762" t="s">
        <v>4280</v>
      </c>
      <c r="AI762">
        <v>35</v>
      </c>
      <c r="AJ762">
        <v>1</v>
      </c>
      <c r="AK762">
        <v>0</v>
      </c>
      <c r="AL762">
        <v>85.98999999999999</v>
      </c>
      <c r="AO762" t="s">
        <v>1425</v>
      </c>
      <c r="AP762">
        <v>10740</v>
      </c>
      <c r="AR762" t="s">
        <v>9328</v>
      </c>
      <c r="AS762" t="s">
        <v>9336</v>
      </c>
      <c r="AT762" t="s">
        <v>9369</v>
      </c>
      <c r="AU762" t="s">
        <v>9457</v>
      </c>
      <c r="AV762">
        <v>34.2</v>
      </c>
      <c r="AW762" t="s">
        <v>54</v>
      </c>
    </row>
    <row r="763" spans="1:49">
      <c r="A763" s="1">
        <f>HYPERLINK("https://cms.ls-nyc.org/matter/dynamic-profile/view/1872309","18-1872309")</f>
        <v>0</v>
      </c>
      <c r="B763" t="s">
        <v>67</v>
      </c>
      <c r="C763" t="s">
        <v>82</v>
      </c>
      <c r="D763" t="s">
        <v>251</v>
      </c>
      <c r="E763" t="s">
        <v>92</v>
      </c>
      <c r="F763" t="s">
        <v>893</v>
      </c>
      <c r="G763" t="s">
        <v>1966</v>
      </c>
      <c r="H763" t="s">
        <v>3148</v>
      </c>
      <c r="I763">
        <v>314</v>
      </c>
      <c r="J763" t="s">
        <v>4229</v>
      </c>
      <c r="K763">
        <v>11354</v>
      </c>
      <c r="L763" t="s">
        <v>4275</v>
      </c>
      <c r="M763" t="s">
        <v>4275</v>
      </c>
      <c r="O763" t="s">
        <v>4283</v>
      </c>
      <c r="P763" t="s">
        <v>4958</v>
      </c>
      <c r="Q763" t="s">
        <v>5731</v>
      </c>
      <c r="R763" t="s">
        <v>5751</v>
      </c>
      <c r="S763" t="s">
        <v>5758</v>
      </c>
      <c r="T763" t="s">
        <v>4276</v>
      </c>
      <c r="V763" t="s">
        <v>5767</v>
      </c>
      <c r="W763" t="s">
        <v>5772</v>
      </c>
      <c r="X763" t="s">
        <v>251</v>
      </c>
      <c r="Y763">
        <v>970.62</v>
      </c>
      <c r="Z763" t="s">
        <v>5803</v>
      </c>
      <c r="AA763" t="s">
        <v>5807</v>
      </c>
      <c r="AB763" t="s">
        <v>5820</v>
      </c>
      <c r="AC763" t="s">
        <v>6527</v>
      </c>
      <c r="AD763" t="s">
        <v>7572</v>
      </c>
      <c r="AE763" t="s">
        <v>8517</v>
      </c>
      <c r="AF763">
        <v>120</v>
      </c>
      <c r="AG763" t="s">
        <v>9272</v>
      </c>
      <c r="AH763" t="s">
        <v>4280</v>
      </c>
      <c r="AI763">
        <v>30</v>
      </c>
      <c r="AJ763">
        <v>1</v>
      </c>
      <c r="AK763">
        <v>0</v>
      </c>
      <c r="AL763">
        <v>86</v>
      </c>
      <c r="AO763" t="s">
        <v>9309</v>
      </c>
      <c r="AP763">
        <v>10440</v>
      </c>
      <c r="AR763" t="s">
        <v>9329</v>
      </c>
      <c r="AS763" t="s">
        <v>9336</v>
      </c>
      <c r="AT763" t="s">
        <v>9369</v>
      </c>
      <c r="AU763" t="s">
        <v>9492</v>
      </c>
      <c r="AV763">
        <v>17.2</v>
      </c>
      <c r="AW763" t="s">
        <v>54</v>
      </c>
    </row>
    <row r="764" spans="1:49">
      <c r="A764" s="1">
        <f>HYPERLINK("https://cms.ls-nyc.org/matter/dynamic-profile/view/1877040","18-1877040")</f>
        <v>0</v>
      </c>
      <c r="B764" t="s">
        <v>67</v>
      </c>
      <c r="C764" t="s">
        <v>82</v>
      </c>
      <c r="D764" t="s">
        <v>252</v>
      </c>
      <c r="E764" t="s">
        <v>228</v>
      </c>
      <c r="F764" t="s">
        <v>894</v>
      </c>
      <c r="G764" t="s">
        <v>1967</v>
      </c>
      <c r="H764" t="s">
        <v>3154</v>
      </c>
      <c r="J764" t="s">
        <v>4229</v>
      </c>
      <c r="K764">
        <v>11354</v>
      </c>
      <c r="L764" t="s">
        <v>4275</v>
      </c>
      <c r="M764" t="s">
        <v>4275</v>
      </c>
      <c r="O764" t="s">
        <v>4283</v>
      </c>
      <c r="P764" t="s">
        <v>4280</v>
      </c>
      <c r="Q764" t="s">
        <v>4698</v>
      </c>
      <c r="R764" t="s">
        <v>5753</v>
      </c>
      <c r="S764" t="s">
        <v>5759</v>
      </c>
      <c r="T764" t="s">
        <v>4276</v>
      </c>
      <c r="V764" t="s">
        <v>5767</v>
      </c>
      <c r="W764" t="s">
        <v>5772</v>
      </c>
      <c r="X764" t="s">
        <v>252</v>
      </c>
      <c r="Y764">
        <v>0</v>
      </c>
      <c r="Z764" t="s">
        <v>5803</v>
      </c>
      <c r="AA764" t="s">
        <v>5806</v>
      </c>
      <c r="AB764" t="s">
        <v>5821</v>
      </c>
      <c r="AC764" t="s">
        <v>6528</v>
      </c>
      <c r="AD764" t="s">
        <v>4280</v>
      </c>
      <c r="AE764" t="s">
        <v>7289</v>
      </c>
      <c r="AF764">
        <v>68</v>
      </c>
      <c r="AG764" t="s">
        <v>9269</v>
      </c>
      <c r="AH764" t="s">
        <v>4280</v>
      </c>
      <c r="AI764">
        <v>1</v>
      </c>
      <c r="AJ764">
        <v>1</v>
      </c>
      <c r="AK764">
        <v>0</v>
      </c>
      <c r="AL764">
        <v>88.03</v>
      </c>
      <c r="AO764" t="s">
        <v>9304</v>
      </c>
      <c r="AP764">
        <v>10687</v>
      </c>
      <c r="AV764">
        <v>1.4</v>
      </c>
      <c r="AW764" t="s">
        <v>67</v>
      </c>
    </row>
    <row r="765" spans="1:49">
      <c r="A765" s="1">
        <f>HYPERLINK("https://cms.ls-nyc.org/matter/dynamic-profile/view/1877463","18-1877463")</f>
        <v>0</v>
      </c>
      <c r="B765" t="s">
        <v>67</v>
      </c>
      <c r="C765" t="s">
        <v>83</v>
      </c>
      <c r="D765" t="s">
        <v>180</v>
      </c>
      <c r="F765" t="s">
        <v>895</v>
      </c>
      <c r="G765" t="s">
        <v>1968</v>
      </c>
      <c r="H765" t="s">
        <v>3155</v>
      </c>
      <c r="I765" t="s">
        <v>3961</v>
      </c>
      <c r="J765" t="s">
        <v>4243</v>
      </c>
      <c r="K765">
        <v>11691</v>
      </c>
      <c r="L765" t="s">
        <v>4275</v>
      </c>
      <c r="M765" t="s">
        <v>4275</v>
      </c>
      <c r="N765" t="s">
        <v>4278</v>
      </c>
      <c r="O765" t="s">
        <v>4283</v>
      </c>
      <c r="P765" t="s">
        <v>4959</v>
      </c>
      <c r="Q765" t="s">
        <v>5731</v>
      </c>
      <c r="R765" t="s">
        <v>5751</v>
      </c>
      <c r="T765" t="s">
        <v>4276</v>
      </c>
      <c r="V765" t="s">
        <v>5767</v>
      </c>
      <c r="W765" t="s">
        <v>5771</v>
      </c>
      <c r="X765" t="s">
        <v>180</v>
      </c>
      <c r="Y765">
        <v>1377</v>
      </c>
      <c r="Z765" t="s">
        <v>5803</v>
      </c>
      <c r="AA765" t="s">
        <v>5804</v>
      </c>
      <c r="AC765" t="s">
        <v>6529</v>
      </c>
      <c r="AD765" t="s">
        <v>7573</v>
      </c>
      <c r="AE765" t="s">
        <v>8518</v>
      </c>
      <c r="AF765">
        <v>107</v>
      </c>
      <c r="AG765" t="s">
        <v>9272</v>
      </c>
      <c r="AH765" t="s">
        <v>4280</v>
      </c>
      <c r="AI765">
        <v>2</v>
      </c>
      <c r="AJ765">
        <v>1</v>
      </c>
      <c r="AK765">
        <v>2</v>
      </c>
      <c r="AL765">
        <v>90.45999999999999</v>
      </c>
      <c r="AO765" t="s">
        <v>1425</v>
      </c>
      <c r="AP765">
        <v>18798</v>
      </c>
      <c r="AR765" t="s">
        <v>9331</v>
      </c>
      <c r="AS765" t="s">
        <v>9360</v>
      </c>
      <c r="AT765" t="s">
        <v>9369</v>
      </c>
      <c r="AU765" t="s">
        <v>9493</v>
      </c>
      <c r="AV765">
        <v>96.25</v>
      </c>
      <c r="AW765" t="s">
        <v>54</v>
      </c>
    </row>
    <row r="766" spans="1:49">
      <c r="A766" s="1">
        <f>HYPERLINK("https://cms.ls-nyc.org/matter/dynamic-profile/view/1885600","18-1885600")</f>
        <v>0</v>
      </c>
      <c r="B766" t="s">
        <v>67</v>
      </c>
      <c r="C766" t="s">
        <v>82</v>
      </c>
      <c r="D766" t="s">
        <v>187</v>
      </c>
      <c r="E766" t="s">
        <v>100</v>
      </c>
      <c r="F766" t="s">
        <v>896</v>
      </c>
      <c r="G766" t="s">
        <v>1588</v>
      </c>
      <c r="H766" t="s">
        <v>3156</v>
      </c>
      <c r="J766" t="s">
        <v>4253</v>
      </c>
      <c r="K766">
        <v>11422</v>
      </c>
      <c r="L766" t="s">
        <v>4275</v>
      </c>
      <c r="M766" t="s">
        <v>4275</v>
      </c>
      <c r="O766" t="s">
        <v>4283</v>
      </c>
      <c r="P766" t="s">
        <v>4960</v>
      </c>
      <c r="Q766" t="s">
        <v>5732</v>
      </c>
      <c r="R766" t="s">
        <v>5751</v>
      </c>
      <c r="S766" t="s">
        <v>5758</v>
      </c>
      <c r="T766" t="s">
        <v>4276</v>
      </c>
      <c r="V766" t="s">
        <v>5767</v>
      </c>
      <c r="W766" t="s">
        <v>5772</v>
      </c>
      <c r="X766" t="s">
        <v>187</v>
      </c>
      <c r="Y766">
        <v>0</v>
      </c>
      <c r="Z766" t="s">
        <v>5803</v>
      </c>
      <c r="AA766" t="s">
        <v>5804</v>
      </c>
      <c r="AB766" t="s">
        <v>5820</v>
      </c>
      <c r="AC766" t="s">
        <v>6530</v>
      </c>
      <c r="AE766" t="s">
        <v>8519</v>
      </c>
      <c r="AF766">
        <v>2</v>
      </c>
      <c r="AG766" t="s">
        <v>9269</v>
      </c>
      <c r="AH766" t="s">
        <v>4280</v>
      </c>
      <c r="AI766">
        <v>1</v>
      </c>
      <c r="AJ766">
        <v>1</v>
      </c>
      <c r="AK766">
        <v>4</v>
      </c>
      <c r="AL766">
        <v>91.56</v>
      </c>
      <c r="AO766" t="s">
        <v>1425</v>
      </c>
      <c r="AP766">
        <v>26936</v>
      </c>
      <c r="AR766" t="s">
        <v>9328</v>
      </c>
      <c r="AS766" t="s">
        <v>9336</v>
      </c>
      <c r="AT766" t="s">
        <v>9369</v>
      </c>
      <c r="AU766" t="s">
        <v>9494</v>
      </c>
      <c r="AV766">
        <v>23.35</v>
      </c>
      <c r="AW766" t="s">
        <v>73</v>
      </c>
    </row>
    <row r="767" spans="1:49">
      <c r="A767" s="1">
        <f>HYPERLINK("https://cms.ls-nyc.org/matter/dynamic-profile/view/1900594","19-1900594")</f>
        <v>0</v>
      </c>
      <c r="B767" t="s">
        <v>67</v>
      </c>
      <c r="C767" t="s">
        <v>83</v>
      </c>
      <c r="D767" t="s">
        <v>87</v>
      </c>
      <c r="F767" t="s">
        <v>897</v>
      </c>
      <c r="G767" t="s">
        <v>1969</v>
      </c>
      <c r="H767" t="s">
        <v>3157</v>
      </c>
      <c r="I767" t="s">
        <v>3866</v>
      </c>
      <c r="J767" t="s">
        <v>4258</v>
      </c>
      <c r="K767">
        <v>11369</v>
      </c>
      <c r="L767" t="s">
        <v>4275</v>
      </c>
      <c r="M767" t="s">
        <v>4277</v>
      </c>
      <c r="N767" t="s">
        <v>4278</v>
      </c>
      <c r="O767" t="s">
        <v>4283</v>
      </c>
      <c r="P767" t="s">
        <v>4961</v>
      </c>
      <c r="Q767" t="s">
        <v>5732</v>
      </c>
      <c r="R767" t="s">
        <v>5751</v>
      </c>
      <c r="T767" t="s">
        <v>4276</v>
      </c>
      <c r="V767" t="s">
        <v>5767</v>
      </c>
      <c r="W767" t="s">
        <v>5772</v>
      </c>
      <c r="X767" t="s">
        <v>5790</v>
      </c>
      <c r="Y767">
        <v>1600</v>
      </c>
      <c r="Z767" t="s">
        <v>5803</v>
      </c>
      <c r="AA767" t="s">
        <v>5804</v>
      </c>
      <c r="AC767" t="s">
        <v>6531</v>
      </c>
      <c r="AE767" t="s">
        <v>8520</v>
      </c>
      <c r="AF767">
        <v>2</v>
      </c>
      <c r="AG767" t="s">
        <v>9270</v>
      </c>
      <c r="AH767" t="s">
        <v>4280</v>
      </c>
      <c r="AI767">
        <v>22</v>
      </c>
      <c r="AJ767">
        <v>3</v>
      </c>
      <c r="AK767">
        <v>0</v>
      </c>
      <c r="AL767">
        <v>93.76000000000001</v>
      </c>
      <c r="AO767" t="s">
        <v>1425</v>
      </c>
      <c r="AP767">
        <v>20000</v>
      </c>
      <c r="AV767">
        <v>3.05</v>
      </c>
      <c r="AW767" t="s">
        <v>54</v>
      </c>
    </row>
    <row r="768" spans="1:49">
      <c r="A768" s="1">
        <f>HYPERLINK("https://cms.ls-nyc.org/matter/dynamic-profile/view/1894701","19-1894701")</f>
        <v>0</v>
      </c>
      <c r="B768" t="s">
        <v>67</v>
      </c>
      <c r="C768" t="s">
        <v>83</v>
      </c>
      <c r="D768" t="s">
        <v>200</v>
      </c>
      <c r="F768" t="s">
        <v>890</v>
      </c>
      <c r="G768" t="s">
        <v>1960</v>
      </c>
      <c r="H768" t="s">
        <v>3148</v>
      </c>
      <c r="I768">
        <v>404</v>
      </c>
      <c r="J768" t="s">
        <v>4229</v>
      </c>
      <c r="K768">
        <v>11354</v>
      </c>
      <c r="L768" t="s">
        <v>4275</v>
      </c>
      <c r="M768" t="s">
        <v>4275</v>
      </c>
      <c r="N768" t="s">
        <v>4278</v>
      </c>
      <c r="O768" t="s">
        <v>4283</v>
      </c>
      <c r="P768" t="s">
        <v>4962</v>
      </c>
      <c r="Q768" t="s">
        <v>5731</v>
      </c>
      <c r="R768" t="s">
        <v>5751</v>
      </c>
      <c r="T768" t="s">
        <v>4276</v>
      </c>
      <c r="V768" t="s">
        <v>5767</v>
      </c>
      <c r="W768" t="s">
        <v>5772</v>
      </c>
      <c r="X768" t="s">
        <v>200</v>
      </c>
      <c r="Y768">
        <v>1355.8</v>
      </c>
      <c r="Z768" t="s">
        <v>5803</v>
      </c>
      <c r="AA768" t="s">
        <v>5806</v>
      </c>
      <c r="AC768" t="s">
        <v>6520</v>
      </c>
      <c r="AE768" t="s">
        <v>8510</v>
      </c>
      <c r="AF768">
        <v>130</v>
      </c>
      <c r="AG768" t="s">
        <v>9272</v>
      </c>
      <c r="AH768" t="s">
        <v>9287</v>
      </c>
      <c r="AI768">
        <v>20</v>
      </c>
      <c r="AJ768">
        <v>1</v>
      </c>
      <c r="AK768">
        <v>0</v>
      </c>
      <c r="AL768">
        <v>94.44</v>
      </c>
      <c r="AO768" t="s">
        <v>1425</v>
      </c>
      <c r="AP768">
        <v>11796</v>
      </c>
      <c r="AR768" t="s">
        <v>9327</v>
      </c>
      <c r="AS768" t="s">
        <v>9336</v>
      </c>
      <c r="AT768" t="s">
        <v>9369</v>
      </c>
      <c r="AU768" t="s">
        <v>9430</v>
      </c>
      <c r="AV768">
        <v>10.25</v>
      </c>
      <c r="AW768" t="s">
        <v>9548</v>
      </c>
    </row>
    <row r="769" spans="1:49">
      <c r="A769" s="1">
        <f>HYPERLINK("https://cms.ls-nyc.org/matter/dynamic-profile/view/1892728","19-1892728")</f>
        <v>0</v>
      </c>
      <c r="B769" t="s">
        <v>67</v>
      </c>
      <c r="C769" t="s">
        <v>82</v>
      </c>
      <c r="D769" t="s">
        <v>134</v>
      </c>
      <c r="E769" t="s">
        <v>114</v>
      </c>
      <c r="F769" t="s">
        <v>898</v>
      </c>
      <c r="G769" t="s">
        <v>1970</v>
      </c>
      <c r="H769" t="s">
        <v>3158</v>
      </c>
      <c r="I769" t="s">
        <v>3910</v>
      </c>
      <c r="J769" t="s">
        <v>4222</v>
      </c>
      <c r="K769">
        <v>11432</v>
      </c>
      <c r="L769" t="s">
        <v>4275</v>
      </c>
      <c r="M769" t="s">
        <v>4275</v>
      </c>
      <c r="O769" t="s">
        <v>4284</v>
      </c>
      <c r="Q769" t="s">
        <v>4698</v>
      </c>
      <c r="R769" t="s">
        <v>5753</v>
      </c>
      <c r="S769" t="s">
        <v>5759</v>
      </c>
      <c r="T769" t="s">
        <v>4276</v>
      </c>
      <c r="V769" t="s">
        <v>5770</v>
      </c>
      <c r="W769" t="s">
        <v>5772</v>
      </c>
      <c r="X769" t="s">
        <v>134</v>
      </c>
      <c r="Y769">
        <v>0</v>
      </c>
      <c r="Z769" t="s">
        <v>5803</v>
      </c>
      <c r="AA769" t="s">
        <v>5815</v>
      </c>
      <c r="AB769" t="s">
        <v>5821</v>
      </c>
      <c r="AC769" t="s">
        <v>6532</v>
      </c>
      <c r="AE769" t="s">
        <v>8521</v>
      </c>
      <c r="AF769">
        <v>115</v>
      </c>
      <c r="AG769" t="s">
        <v>9275</v>
      </c>
      <c r="AH769" t="s">
        <v>4280</v>
      </c>
      <c r="AI769">
        <v>2</v>
      </c>
      <c r="AJ769">
        <v>1</v>
      </c>
      <c r="AK769">
        <v>0</v>
      </c>
      <c r="AL769">
        <v>96.08</v>
      </c>
      <c r="AM769" t="s">
        <v>9291</v>
      </c>
      <c r="AN769" t="s">
        <v>9295</v>
      </c>
      <c r="AO769" t="s">
        <v>9301</v>
      </c>
      <c r="AP769">
        <v>12000</v>
      </c>
      <c r="AV769">
        <v>1.2</v>
      </c>
      <c r="AW769" t="s">
        <v>67</v>
      </c>
    </row>
    <row r="770" spans="1:49">
      <c r="A770" s="1">
        <f>HYPERLINK("https://cms.ls-nyc.org/matter/dynamic-profile/view/1883248","18-1883248")</f>
        <v>0</v>
      </c>
      <c r="B770" t="s">
        <v>67</v>
      </c>
      <c r="C770" t="s">
        <v>83</v>
      </c>
      <c r="D770" t="s">
        <v>145</v>
      </c>
      <c r="F770" t="s">
        <v>882</v>
      </c>
      <c r="G770" t="s">
        <v>1971</v>
      </c>
      <c r="H770" t="s">
        <v>3159</v>
      </c>
      <c r="I770" t="s">
        <v>4001</v>
      </c>
      <c r="J770" t="s">
        <v>4229</v>
      </c>
      <c r="K770">
        <v>11355</v>
      </c>
      <c r="L770" t="s">
        <v>4275</v>
      </c>
      <c r="M770" t="s">
        <v>4275</v>
      </c>
      <c r="O770" t="s">
        <v>4283</v>
      </c>
      <c r="P770" t="s">
        <v>4963</v>
      </c>
      <c r="Q770" t="s">
        <v>5732</v>
      </c>
      <c r="R770" t="s">
        <v>5751</v>
      </c>
      <c r="T770" t="s">
        <v>4276</v>
      </c>
      <c r="V770" t="s">
        <v>5767</v>
      </c>
      <c r="W770" t="s">
        <v>5772</v>
      </c>
      <c r="X770" t="s">
        <v>145</v>
      </c>
      <c r="Y770">
        <v>1227.86</v>
      </c>
      <c r="Z770" t="s">
        <v>5803</v>
      </c>
      <c r="AA770" t="s">
        <v>5804</v>
      </c>
      <c r="AC770" t="s">
        <v>6533</v>
      </c>
      <c r="AD770" t="s">
        <v>7574</v>
      </c>
      <c r="AE770" t="s">
        <v>8522</v>
      </c>
      <c r="AF770">
        <v>86</v>
      </c>
      <c r="AG770" t="s">
        <v>9272</v>
      </c>
      <c r="AH770" t="s">
        <v>4280</v>
      </c>
      <c r="AI770">
        <v>21</v>
      </c>
      <c r="AJ770">
        <v>1</v>
      </c>
      <c r="AK770">
        <v>0</v>
      </c>
      <c r="AL770">
        <v>98.84999999999999</v>
      </c>
      <c r="AO770" t="s">
        <v>9298</v>
      </c>
      <c r="AP770">
        <v>12000</v>
      </c>
      <c r="AV770">
        <v>42.8</v>
      </c>
      <c r="AW770" t="s">
        <v>73</v>
      </c>
    </row>
    <row r="771" spans="1:49">
      <c r="A771" s="1">
        <f>HYPERLINK("https://cms.ls-nyc.org/matter/dynamic-profile/view/1886581","18-1886581")</f>
        <v>0</v>
      </c>
      <c r="B771" t="s">
        <v>67</v>
      </c>
      <c r="C771" t="s">
        <v>82</v>
      </c>
      <c r="D771" t="s">
        <v>189</v>
      </c>
      <c r="E771" t="s">
        <v>281</v>
      </c>
      <c r="F771" t="s">
        <v>899</v>
      </c>
      <c r="G771" t="s">
        <v>1972</v>
      </c>
      <c r="H771" t="s">
        <v>3160</v>
      </c>
      <c r="I771" t="s">
        <v>4074</v>
      </c>
      <c r="J771" t="s">
        <v>4247</v>
      </c>
      <c r="K771">
        <v>11415</v>
      </c>
      <c r="L771" t="s">
        <v>4275</v>
      </c>
      <c r="M771" t="s">
        <v>4275</v>
      </c>
      <c r="O771" t="s">
        <v>4283</v>
      </c>
      <c r="P771" t="s">
        <v>4964</v>
      </c>
      <c r="Q771" t="s">
        <v>5732</v>
      </c>
      <c r="R771" t="s">
        <v>5753</v>
      </c>
      <c r="S771" t="s">
        <v>5759</v>
      </c>
      <c r="T771" t="s">
        <v>4276</v>
      </c>
      <c r="V771" t="s">
        <v>5767</v>
      </c>
      <c r="W771" t="s">
        <v>5772</v>
      </c>
      <c r="X771" t="s">
        <v>189</v>
      </c>
      <c r="Y771">
        <v>1995</v>
      </c>
      <c r="Z771" t="s">
        <v>5803</v>
      </c>
      <c r="AA771" t="s">
        <v>5804</v>
      </c>
      <c r="AB771" t="s">
        <v>5821</v>
      </c>
      <c r="AC771" t="s">
        <v>6534</v>
      </c>
      <c r="AE771" t="s">
        <v>8523</v>
      </c>
      <c r="AF771">
        <v>20</v>
      </c>
      <c r="AG771" t="s">
        <v>9275</v>
      </c>
      <c r="AH771" t="s">
        <v>4280</v>
      </c>
      <c r="AI771">
        <v>6</v>
      </c>
      <c r="AJ771">
        <v>1</v>
      </c>
      <c r="AK771">
        <v>3</v>
      </c>
      <c r="AL771">
        <v>99.59999999999999</v>
      </c>
      <c r="AO771" t="s">
        <v>1425</v>
      </c>
      <c r="AP771">
        <v>25000</v>
      </c>
      <c r="AV771">
        <v>0.9</v>
      </c>
      <c r="AW771" t="s">
        <v>54</v>
      </c>
    </row>
    <row r="772" spans="1:49">
      <c r="A772" s="1">
        <f>HYPERLINK("https://cms.ls-nyc.org/matter/dynamic-profile/view/1874650","18-1874650")</f>
        <v>0</v>
      </c>
      <c r="B772" t="s">
        <v>67</v>
      </c>
      <c r="C772" t="s">
        <v>82</v>
      </c>
      <c r="D772" t="s">
        <v>103</v>
      </c>
      <c r="E772" t="s">
        <v>99</v>
      </c>
      <c r="F772" t="s">
        <v>900</v>
      </c>
      <c r="G772" t="s">
        <v>1226</v>
      </c>
      <c r="H772" t="s">
        <v>3161</v>
      </c>
      <c r="I772" t="s">
        <v>4075</v>
      </c>
      <c r="J772" t="s">
        <v>4243</v>
      </c>
      <c r="K772">
        <v>11691</v>
      </c>
      <c r="L772" t="s">
        <v>4275</v>
      </c>
      <c r="M772" t="s">
        <v>4275</v>
      </c>
      <c r="O772" t="s">
        <v>4283</v>
      </c>
      <c r="P772" t="s">
        <v>4965</v>
      </c>
      <c r="Q772" t="s">
        <v>5731</v>
      </c>
      <c r="R772" t="s">
        <v>5751</v>
      </c>
      <c r="S772" t="s">
        <v>5761</v>
      </c>
      <c r="T772" t="s">
        <v>4276</v>
      </c>
      <c r="V772" t="s">
        <v>5767</v>
      </c>
      <c r="W772" t="s">
        <v>5772</v>
      </c>
      <c r="X772" t="s">
        <v>103</v>
      </c>
      <c r="Y772">
        <v>770</v>
      </c>
      <c r="Z772" t="s">
        <v>5803</v>
      </c>
      <c r="AA772" t="s">
        <v>5804</v>
      </c>
      <c r="AB772" t="s">
        <v>5820</v>
      </c>
      <c r="AC772" t="s">
        <v>6535</v>
      </c>
      <c r="AD772" t="s">
        <v>7575</v>
      </c>
      <c r="AE772" t="s">
        <v>8524</v>
      </c>
      <c r="AF772">
        <v>256</v>
      </c>
      <c r="AG772" t="s">
        <v>9273</v>
      </c>
      <c r="AH772" t="s">
        <v>4280</v>
      </c>
      <c r="AI772">
        <v>1</v>
      </c>
      <c r="AJ772">
        <v>2</v>
      </c>
      <c r="AK772">
        <v>0</v>
      </c>
      <c r="AL772">
        <v>103.6</v>
      </c>
      <c r="AO772" t="s">
        <v>1425</v>
      </c>
      <c r="AP772">
        <v>17052</v>
      </c>
      <c r="AS772" t="s">
        <v>5806</v>
      </c>
      <c r="AT772" t="s">
        <v>9369</v>
      </c>
      <c r="AU772" t="s">
        <v>9432</v>
      </c>
      <c r="AV772">
        <v>20.15</v>
      </c>
      <c r="AW772" t="s">
        <v>73</v>
      </c>
    </row>
    <row r="773" spans="1:49">
      <c r="A773" s="1">
        <f>HYPERLINK("https://cms.ls-nyc.org/matter/dynamic-profile/view/1896270","19-1896270")</f>
        <v>0</v>
      </c>
      <c r="B773" t="s">
        <v>67</v>
      </c>
      <c r="C773" t="s">
        <v>82</v>
      </c>
      <c r="D773" t="s">
        <v>132</v>
      </c>
      <c r="E773" t="s">
        <v>95</v>
      </c>
      <c r="F773" t="s">
        <v>750</v>
      </c>
      <c r="G773" t="s">
        <v>1973</v>
      </c>
      <c r="H773" t="s">
        <v>3162</v>
      </c>
      <c r="I773" t="s">
        <v>3875</v>
      </c>
      <c r="J773" t="s">
        <v>4229</v>
      </c>
      <c r="K773">
        <v>11354</v>
      </c>
      <c r="L773" t="s">
        <v>4275</v>
      </c>
      <c r="M773" t="s">
        <v>4277</v>
      </c>
      <c r="N773" t="s">
        <v>4278</v>
      </c>
      <c r="O773" t="s">
        <v>4283</v>
      </c>
      <c r="P773" t="s">
        <v>4966</v>
      </c>
      <c r="Q773" t="s">
        <v>5732</v>
      </c>
      <c r="R773" t="s">
        <v>5754</v>
      </c>
      <c r="S773" t="s">
        <v>5763</v>
      </c>
      <c r="T773" t="s">
        <v>4276</v>
      </c>
      <c r="V773" t="s">
        <v>5767</v>
      </c>
      <c r="W773" t="s">
        <v>5772</v>
      </c>
      <c r="X773" t="s">
        <v>208</v>
      </c>
      <c r="Y773">
        <v>1375</v>
      </c>
      <c r="Z773" t="s">
        <v>5803</v>
      </c>
      <c r="AA773" t="s">
        <v>5804</v>
      </c>
      <c r="AB773" t="s">
        <v>5826</v>
      </c>
      <c r="AC773" t="s">
        <v>6536</v>
      </c>
      <c r="AD773" t="s">
        <v>7289</v>
      </c>
      <c r="AE773" t="s">
        <v>8525</v>
      </c>
      <c r="AF773">
        <v>36</v>
      </c>
      <c r="AG773" t="s">
        <v>9272</v>
      </c>
      <c r="AH773" t="s">
        <v>4280</v>
      </c>
      <c r="AI773">
        <v>2</v>
      </c>
      <c r="AJ773">
        <v>1</v>
      </c>
      <c r="AK773">
        <v>0</v>
      </c>
      <c r="AL773">
        <v>105.68</v>
      </c>
      <c r="AO773" t="s">
        <v>1425</v>
      </c>
      <c r="AP773">
        <v>13200</v>
      </c>
      <c r="AS773" t="s">
        <v>5806</v>
      </c>
      <c r="AU773" t="s">
        <v>9446</v>
      </c>
      <c r="AV773">
        <v>5.1</v>
      </c>
      <c r="AW773" t="s">
        <v>9551</v>
      </c>
    </row>
    <row r="774" spans="1:49">
      <c r="A774" s="1">
        <f>HYPERLINK("https://cms.ls-nyc.org/matter/dynamic-profile/view/1882221","18-1882221")</f>
        <v>0</v>
      </c>
      <c r="B774" t="s">
        <v>67</v>
      </c>
      <c r="C774" t="s">
        <v>82</v>
      </c>
      <c r="D774" t="s">
        <v>253</v>
      </c>
      <c r="E774" t="s">
        <v>86</v>
      </c>
      <c r="F774" t="s">
        <v>355</v>
      </c>
      <c r="G774" t="s">
        <v>1974</v>
      </c>
      <c r="H774" t="s">
        <v>3163</v>
      </c>
      <c r="I774" t="s">
        <v>3864</v>
      </c>
      <c r="J774" t="s">
        <v>4222</v>
      </c>
      <c r="K774">
        <v>11435</v>
      </c>
      <c r="L774" t="s">
        <v>4275</v>
      </c>
      <c r="M774" t="s">
        <v>4275</v>
      </c>
      <c r="O774" t="s">
        <v>4283</v>
      </c>
      <c r="P774" t="s">
        <v>4967</v>
      </c>
      <c r="Q774" t="s">
        <v>5732</v>
      </c>
      <c r="R774" t="s">
        <v>5753</v>
      </c>
      <c r="S774" t="s">
        <v>5759</v>
      </c>
      <c r="T774" t="s">
        <v>4276</v>
      </c>
      <c r="V774" t="s">
        <v>5767</v>
      </c>
      <c r="W774" t="s">
        <v>5772</v>
      </c>
      <c r="X774" t="s">
        <v>223</v>
      </c>
      <c r="Y774">
        <v>1800</v>
      </c>
      <c r="Z774" t="s">
        <v>5803</v>
      </c>
      <c r="AA774" t="s">
        <v>5804</v>
      </c>
      <c r="AB774" t="s">
        <v>5821</v>
      </c>
      <c r="AC774" t="s">
        <v>6537</v>
      </c>
      <c r="AD774" t="s">
        <v>4280</v>
      </c>
      <c r="AE774" t="s">
        <v>7289</v>
      </c>
      <c r="AF774">
        <v>2</v>
      </c>
      <c r="AG774" t="s">
        <v>9269</v>
      </c>
      <c r="AH774" t="s">
        <v>4280</v>
      </c>
      <c r="AI774">
        <v>4</v>
      </c>
      <c r="AJ774">
        <v>1</v>
      </c>
      <c r="AK774">
        <v>0</v>
      </c>
      <c r="AL774">
        <v>107.08</v>
      </c>
      <c r="AO774" t="s">
        <v>1425</v>
      </c>
      <c r="AP774">
        <v>13000</v>
      </c>
      <c r="AV774">
        <v>1.7</v>
      </c>
      <c r="AW774" t="s">
        <v>73</v>
      </c>
    </row>
    <row r="775" spans="1:49">
      <c r="A775" s="1">
        <f>HYPERLINK("https://cms.ls-nyc.org/matter/dynamic-profile/view/1873768","18-1873768")</f>
        <v>0</v>
      </c>
      <c r="B775" t="s">
        <v>67</v>
      </c>
      <c r="C775" t="s">
        <v>82</v>
      </c>
      <c r="D775" t="s">
        <v>112</v>
      </c>
      <c r="E775" t="s">
        <v>305</v>
      </c>
      <c r="F775" t="s">
        <v>901</v>
      </c>
      <c r="G775" t="s">
        <v>1975</v>
      </c>
      <c r="H775" t="s">
        <v>3164</v>
      </c>
      <c r="I775" t="s">
        <v>3934</v>
      </c>
      <c r="J775" t="s">
        <v>4239</v>
      </c>
      <c r="K775">
        <v>11420</v>
      </c>
      <c r="L775" t="s">
        <v>4275</v>
      </c>
      <c r="M775" t="s">
        <v>4275</v>
      </c>
      <c r="O775" t="s">
        <v>4282</v>
      </c>
      <c r="P775" t="s">
        <v>4968</v>
      </c>
      <c r="Q775" t="s">
        <v>5731</v>
      </c>
      <c r="R775" t="s">
        <v>5753</v>
      </c>
      <c r="S775" t="s">
        <v>5759</v>
      </c>
      <c r="T775" t="s">
        <v>4276</v>
      </c>
      <c r="V775" t="s">
        <v>5767</v>
      </c>
      <c r="W775" t="s">
        <v>5772</v>
      </c>
      <c r="X775" t="s">
        <v>112</v>
      </c>
      <c r="Y775">
        <v>1136</v>
      </c>
      <c r="Z775" t="s">
        <v>5803</v>
      </c>
      <c r="AA775" t="s">
        <v>5804</v>
      </c>
      <c r="AB775" t="s">
        <v>5821</v>
      </c>
      <c r="AC775" t="s">
        <v>6538</v>
      </c>
      <c r="AE775" t="s">
        <v>8526</v>
      </c>
      <c r="AF775">
        <v>48</v>
      </c>
      <c r="AG775" t="s">
        <v>9272</v>
      </c>
      <c r="AH775" t="s">
        <v>4280</v>
      </c>
      <c r="AI775">
        <v>17</v>
      </c>
      <c r="AJ775">
        <v>1</v>
      </c>
      <c r="AK775">
        <v>0</v>
      </c>
      <c r="AL775">
        <v>115.06</v>
      </c>
      <c r="AN775" t="s">
        <v>9294</v>
      </c>
      <c r="AO775" t="s">
        <v>1425</v>
      </c>
      <c r="AP775">
        <v>13968</v>
      </c>
      <c r="AV775">
        <v>1.9</v>
      </c>
      <c r="AW775" t="s">
        <v>54</v>
      </c>
    </row>
    <row r="776" spans="1:49">
      <c r="A776" s="1">
        <f>HYPERLINK("https://cms.ls-nyc.org/matter/dynamic-profile/view/1881967","18-1881967")</f>
        <v>0</v>
      </c>
      <c r="B776" t="s">
        <v>67</v>
      </c>
      <c r="C776" t="s">
        <v>82</v>
      </c>
      <c r="D776" t="s">
        <v>170</v>
      </c>
      <c r="E776" t="s">
        <v>268</v>
      </c>
      <c r="F776" t="s">
        <v>902</v>
      </c>
      <c r="G776" t="s">
        <v>1976</v>
      </c>
      <c r="H776" t="s">
        <v>2608</v>
      </c>
      <c r="I776" t="s">
        <v>4076</v>
      </c>
      <c r="J776" t="s">
        <v>4241</v>
      </c>
      <c r="K776">
        <v>11368</v>
      </c>
      <c r="L776" t="s">
        <v>4275</v>
      </c>
      <c r="M776" t="s">
        <v>4275</v>
      </c>
      <c r="O776" t="s">
        <v>4283</v>
      </c>
      <c r="P776" t="s">
        <v>4969</v>
      </c>
      <c r="Q776" t="s">
        <v>5731</v>
      </c>
      <c r="R776" t="s">
        <v>5753</v>
      </c>
      <c r="S776" t="s">
        <v>5759</v>
      </c>
      <c r="T776" t="s">
        <v>4276</v>
      </c>
      <c r="V776" t="s">
        <v>5767</v>
      </c>
      <c r="W776" t="s">
        <v>5772</v>
      </c>
      <c r="X776" t="s">
        <v>170</v>
      </c>
      <c r="Y776">
        <v>1390</v>
      </c>
      <c r="Z776" t="s">
        <v>5803</v>
      </c>
      <c r="AA776" t="s">
        <v>5804</v>
      </c>
      <c r="AB776" t="s">
        <v>5821</v>
      </c>
      <c r="AC776" t="s">
        <v>6539</v>
      </c>
      <c r="AD776" t="s">
        <v>7576</v>
      </c>
      <c r="AE776" t="s">
        <v>8527</v>
      </c>
      <c r="AF776">
        <v>232</v>
      </c>
      <c r="AG776" t="s">
        <v>9272</v>
      </c>
      <c r="AH776" t="s">
        <v>9283</v>
      </c>
      <c r="AI776">
        <v>7</v>
      </c>
      <c r="AJ776">
        <v>1</v>
      </c>
      <c r="AK776">
        <v>2</v>
      </c>
      <c r="AL776">
        <v>115.5</v>
      </c>
      <c r="AO776" t="s">
        <v>1425</v>
      </c>
      <c r="AP776">
        <v>24000</v>
      </c>
      <c r="AV776">
        <v>1.6</v>
      </c>
      <c r="AW776" t="s">
        <v>73</v>
      </c>
    </row>
    <row r="777" spans="1:49">
      <c r="A777" s="1">
        <f>HYPERLINK("https://cms.ls-nyc.org/matter/dynamic-profile/view/1873755","18-1873755")</f>
        <v>0</v>
      </c>
      <c r="B777" t="s">
        <v>67</v>
      </c>
      <c r="C777" t="s">
        <v>82</v>
      </c>
      <c r="D777" t="s">
        <v>112</v>
      </c>
      <c r="E777" t="s">
        <v>118</v>
      </c>
      <c r="F777" t="s">
        <v>903</v>
      </c>
      <c r="G777" t="s">
        <v>1977</v>
      </c>
      <c r="H777" t="s">
        <v>3165</v>
      </c>
      <c r="J777" t="s">
        <v>4243</v>
      </c>
      <c r="K777">
        <v>11694</v>
      </c>
      <c r="L777" t="s">
        <v>4275</v>
      </c>
      <c r="M777" t="s">
        <v>4275</v>
      </c>
      <c r="O777" t="s">
        <v>4283</v>
      </c>
      <c r="P777" t="s">
        <v>4970</v>
      </c>
      <c r="Q777" t="s">
        <v>5731</v>
      </c>
      <c r="R777" t="s">
        <v>5753</v>
      </c>
      <c r="S777" t="s">
        <v>5759</v>
      </c>
      <c r="T777" t="s">
        <v>4276</v>
      </c>
      <c r="V777" t="s">
        <v>5767</v>
      </c>
      <c r="W777" t="s">
        <v>5774</v>
      </c>
      <c r="X777" t="s">
        <v>112</v>
      </c>
      <c r="Y777">
        <v>950</v>
      </c>
      <c r="Z777" t="s">
        <v>5803</v>
      </c>
      <c r="AA777" t="s">
        <v>5804</v>
      </c>
      <c r="AB777" t="s">
        <v>5821</v>
      </c>
      <c r="AC777" t="s">
        <v>6540</v>
      </c>
      <c r="AD777" t="s">
        <v>4280</v>
      </c>
      <c r="AE777" t="s">
        <v>8528</v>
      </c>
      <c r="AF777">
        <v>1</v>
      </c>
      <c r="AG777" t="s">
        <v>9269</v>
      </c>
      <c r="AH777" t="s">
        <v>4280</v>
      </c>
      <c r="AI777">
        <v>6</v>
      </c>
      <c r="AJ777">
        <v>1</v>
      </c>
      <c r="AK777">
        <v>0</v>
      </c>
      <c r="AL777">
        <v>116.94</v>
      </c>
      <c r="AO777" t="s">
        <v>1425</v>
      </c>
      <c r="AP777">
        <v>14196</v>
      </c>
      <c r="AV777">
        <v>1</v>
      </c>
      <c r="AW777" t="s">
        <v>54</v>
      </c>
    </row>
    <row r="778" spans="1:49">
      <c r="A778" s="1">
        <f>HYPERLINK("https://cms.ls-nyc.org/matter/dynamic-profile/view/1895143","19-1895143")</f>
        <v>0</v>
      </c>
      <c r="B778" t="s">
        <v>67</v>
      </c>
      <c r="C778" t="s">
        <v>82</v>
      </c>
      <c r="D778" t="s">
        <v>218</v>
      </c>
      <c r="E778" t="s">
        <v>95</v>
      </c>
      <c r="F778" t="s">
        <v>904</v>
      </c>
      <c r="G778" t="s">
        <v>1978</v>
      </c>
      <c r="H778" t="s">
        <v>3166</v>
      </c>
      <c r="I778" t="s">
        <v>3949</v>
      </c>
      <c r="J778" t="s">
        <v>4234</v>
      </c>
      <c r="K778">
        <v>11102</v>
      </c>
      <c r="L778" t="s">
        <v>4275</v>
      </c>
      <c r="M778" t="s">
        <v>4275</v>
      </c>
      <c r="O778" t="s">
        <v>4282</v>
      </c>
      <c r="P778" t="s">
        <v>4971</v>
      </c>
      <c r="Q778" t="s">
        <v>5731</v>
      </c>
      <c r="R778" t="s">
        <v>5753</v>
      </c>
      <c r="S778" t="s">
        <v>5759</v>
      </c>
      <c r="T778" t="s">
        <v>4276</v>
      </c>
      <c r="V778" t="s">
        <v>5767</v>
      </c>
      <c r="W778" t="s">
        <v>5774</v>
      </c>
      <c r="X778" t="s">
        <v>218</v>
      </c>
      <c r="Y778">
        <v>748</v>
      </c>
      <c r="Z778" t="s">
        <v>5803</v>
      </c>
      <c r="AA778" t="s">
        <v>5804</v>
      </c>
      <c r="AB778" t="s">
        <v>5821</v>
      </c>
      <c r="AC778" t="s">
        <v>6541</v>
      </c>
      <c r="AD778" t="s">
        <v>4280</v>
      </c>
      <c r="AE778" t="s">
        <v>8529</v>
      </c>
      <c r="AF778">
        <v>1104</v>
      </c>
      <c r="AG778" t="s">
        <v>9271</v>
      </c>
      <c r="AH778" t="s">
        <v>4280</v>
      </c>
      <c r="AI778">
        <v>2</v>
      </c>
      <c r="AJ778">
        <v>2</v>
      </c>
      <c r="AK778">
        <v>2</v>
      </c>
      <c r="AL778">
        <v>135.92</v>
      </c>
      <c r="AO778" t="s">
        <v>1425</v>
      </c>
      <c r="AP778">
        <v>35000</v>
      </c>
      <c r="AV778">
        <v>1.7</v>
      </c>
      <c r="AW778" t="s">
        <v>67</v>
      </c>
    </row>
    <row r="779" spans="1:49">
      <c r="A779" s="1">
        <f>HYPERLINK("https://cms.ls-nyc.org/matter/dynamic-profile/view/1881291","18-1881291")</f>
        <v>0</v>
      </c>
      <c r="B779" t="s">
        <v>67</v>
      </c>
      <c r="C779" t="s">
        <v>82</v>
      </c>
      <c r="D779" t="s">
        <v>140</v>
      </c>
      <c r="E779" t="s">
        <v>101</v>
      </c>
      <c r="F779" t="s">
        <v>483</v>
      </c>
      <c r="G779" t="s">
        <v>1979</v>
      </c>
      <c r="H779" t="s">
        <v>3167</v>
      </c>
      <c r="J779" t="s">
        <v>4237</v>
      </c>
      <c r="K779">
        <v>11356</v>
      </c>
      <c r="L779" t="s">
        <v>4275</v>
      </c>
      <c r="M779" t="s">
        <v>4275</v>
      </c>
      <c r="O779" t="s">
        <v>4283</v>
      </c>
      <c r="P779" t="s">
        <v>4972</v>
      </c>
      <c r="Q779" t="s">
        <v>5732</v>
      </c>
      <c r="R779" t="s">
        <v>5751</v>
      </c>
      <c r="S779" t="s">
        <v>5758</v>
      </c>
      <c r="T779" t="s">
        <v>4276</v>
      </c>
      <c r="V779" t="s">
        <v>5767</v>
      </c>
      <c r="W779" t="s">
        <v>5772</v>
      </c>
      <c r="X779" t="s">
        <v>140</v>
      </c>
      <c r="Y779">
        <v>1100</v>
      </c>
      <c r="Z779" t="s">
        <v>5803</v>
      </c>
      <c r="AA779" t="s">
        <v>5804</v>
      </c>
      <c r="AB779" t="s">
        <v>5820</v>
      </c>
      <c r="AC779" t="s">
        <v>6542</v>
      </c>
      <c r="AD779" t="s">
        <v>7289</v>
      </c>
      <c r="AE779" t="s">
        <v>8530</v>
      </c>
      <c r="AF779">
        <v>2</v>
      </c>
      <c r="AG779" t="s">
        <v>9269</v>
      </c>
      <c r="AH779" t="s">
        <v>4280</v>
      </c>
      <c r="AI779">
        <v>6</v>
      </c>
      <c r="AJ779">
        <v>1</v>
      </c>
      <c r="AK779">
        <v>0</v>
      </c>
      <c r="AL779">
        <v>148.27</v>
      </c>
      <c r="AO779" t="s">
        <v>1425</v>
      </c>
      <c r="AP779">
        <v>18000</v>
      </c>
      <c r="AR779" t="s">
        <v>9327</v>
      </c>
      <c r="AS779" t="s">
        <v>5806</v>
      </c>
      <c r="AT779" t="s">
        <v>9370</v>
      </c>
      <c r="AU779" t="s">
        <v>9495</v>
      </c>
      <c r="AV779">
        <v>16.45</v>
      </c>
      <c r="AW779" t="s">
        <v>74</v>
      </c>
    </row>
    <row r="780" spans="1:49">
      <c r="A780" s="1">
        <f>HYPERLINK("https://cms.ls-nyc.org/matter/dynamic-profile/view/1885982","18-1885982")</f>
        <v>0</v>
      </c>
      <c r="B780" t="s">
        <v>67</v>
      </c>
      <c r="C780" t="s">
        <v>83</v>
      </c>
      <c r="D780" t="s">
        <v>191</v>
      </c>
      <c r="F780" t="s">
        <v>450</v>
      </c>
      <c r="G780" t="s">
        <v>1760</v>
      </c>
      <c r="H780" t="s">
        <v>2638</v>
      </c>
      <c r="I780" t="s">
        <v>4077</v>
      </c>
      <c r="J780" t="s">
        <v>4243</v>
      </c>
      <c r="K780">
        <v>11691</v>
      </c>
      <c r="L780" t="s">
        <v>4275</v>
      </c>
      <c r="M780" t="s">
        <v>4275</v>
      </c>
      <c r="O780" t="s">
        <v>4283</v>
      </c>
      <c r="P780" t="s">
        <v>4973</v>
      </c>
      <c r="Q780" t="s">
        <v>5731</v>
      </c>
      <c r="R780" t="s">
        <v>5751</v>
      </c>
      <c r="T780" t="s">
        <v>4276</v>
      </c>
      <c r="V780" t="s">
        <v>5767</v>
      </c>
      <c r="W780" t="s">
        <v>5772</v>
      </c>
      <c r="X780" t="s">
        <v>191</v>
      </c>
      <c r="Y780">
        <v>780</v>
      </c>
      <c r="Z780" t="s">
        <v>5803</v>
      </c>
      <c r="AA780" t="s">
        <v>5804</v>
      </c>
      <c r="AC780" t="s">
        <v>6543</v>
      </c>
      <c r="AE780" t="s">
        <v>8531</v>
      </c>
      <c r="AF780">
        <v>72</v>
      </c>
      <c r="AG780" t="s">
        <v>9278</v>
      </c>
      <c r="AH780" t="s">
        <v>4280</v>
      </c>
      <c r="AI780">
        <v>2</v>
      </c>
      <c r="AJ780">
        <v>1</v>
      </c>
      <c r="AK780">
        <v>2</v>
      </c>
      <c r="AL780">
        <v>153.99</v>
      </c>
      <c r="AO780" t="s">
        <v>1425</v>
      </c>
      <c r="AP780">
        <v>32000</v>
      </c>
      <c r="AR780" t="s">
        <v>9327</v>
      </c>
      <c r="AS780" t="s">
        <v>9336</v>
      </c>
      <c r="AT780" t="s">
        <v>9369</v>
      </c>
      <c r="AU780" t="s">
        <v>9496</v>
      </c>
      <c r="AV780">
        <v>3.6</v>
      </c>
      <c r="AW780" t="s">
        <v>54</v>
      </c>
    </row>
    <row r="781" spans="1:49">
      <c r="A781" s="1">
        <f>HYPERLINK("https://cms.ls-nyc.org/matter/dynamic-profile/view/1893990","19-1893990")</f>
        <v>0</v>
      </c>
      <c r="B781" t="s">
        <v>67</v>
      </c>
      <c r="C781" t="s">
        <v>83</v>
      </c>
      <c r="D781" t="s">
        <v>96</v>
      </c>
      <c r="F781" t="s">
        <v>905</v>
      </c>
      <c r="G781" t="s">
        <v>1980</v>
      </c>
      <c r="H781" t="s">
        <v>3168</v>
      </c>
      <c r="I781" t="s">
        <v>4078</v>
      </c>
      <c r="J781" t="s">
        <v>4229</v>
      </c>
      <c r="K781">
        <v>11354</v>
      </c>
      <c r="L781" t="s">
        <v>4275</v>
      </c>
      <c r="M781" t="s">
        <v>4276</v>
      </c>
      <c r="N781" t="s">
        <v>4278</v>
      </c>
      <c r="O781" t="s">
        <v>4283</v>
      </c>
      <c r="P781" t="s">
        <v>4974</v>
      </c>
      <c r="Q781" t="s">
        <v>5731</v>
      </c>
      <c r="R781" t="s">
        <v>5751</v>
      </c>
      <c r="T781" t="s">
        <v>4275</v>
      </c>
      <c r="V781" t="s">
        <v>5767</v>
      </c>
      <c r="W781" t="s">
        <v>5772</v>
      </c>
      <c r="X781" t="s">
        <v>248</v>
      </c>
      <c r="Y781">
        <v>1658</v>
      </c>
      <c r="Z781" t="s">
        <v>5803</v>
      </c>
      <c r="AA781" t="s">
        <v>5804</v>
      </c>
      <c r="AC781" t="s">
        <v>6544</v>
      </c>
      <c r="AE781" t="s">
        <v>8532</v>
      </c>
      <c r="AF781">
        <v>42</v>
      </c>
      <c r="AG781" t="s">
        <v>9269</v>
      </c>
      <c r="AH781" t="s">
        <v>4280</v>
      </c>
      <c r="AI781">
        <v>2</v>
      </c>
      <c r="AJ781">
        <v>2</v>
      </c>
      <c r="AK781">
        <v>0</v>
      </c>
      <c r="AL781">
        <v>156.12</v>
      </c>
      <c r="AO781" t="s">
        <v>1425</v>
      </c>
      <c r="AP781">
        <v>26400</v>
      </c>
      <c r="AR781" t="s">
        <v>9327</v>
      </c>
      <c r="AS781" t="s">
        <v>9336</v>
      </c>
      <c r="AT781" t="s">
        <v>9369</v>
      </c>
      <c r="AU781" t="s">
        <v>9483</v>
      </c>
      <c r="AV781">
        <v>16.2</v>
      </c>
      <c r="AW781" t="s">
        <v>9547</v>
      </c>
    </row>
    <row r="782" spans="1:49">
      <c r="A782" s="1">
        <f>HYPERLINK("https://cms.ls-nyc.org/matter/dynamic-profile/view/1877510","18-1877510")</f>
        <v>0</v>
      </c>
      <c r="B782" t="s">
        <v>67</v>
      </c>
      <c r="C782" t="s">
        <v>83</v>
      </c>
      <c r="D782" t="s">
        <v>180</v>
      </c>
      <c r="F782" t="s">
        <v>906</v>
      </c>
      <c r="G782" t="s">
        <v>1453</v>
      </c>
      <c r="H782" t="s">
        <v>3169</v>
      </c>
      <c r="I782" t="s">
        <v>4079</v>
      </c>
      <c r="J782" t="s">
        <v>4229</v>
      </c>
      <c r="K782">
        <v>11354</v>
      </c>
      <c r="L782" t="s">
        <v>4275</v>
      </c>
      <c r="M782" t="s">
        <v>4275</v>
      </c>
      <c r="O782" t="s">
        <v>4283</v>
      </c>
      <c r="P782" t="s">
        <v>4975</v>
      </c>
      <c r="Q782" t="s">
        <v>5732</v>
      </c>
      <c r="R782" t="s">
        <v>5751</v>
      </c>
      <c r="T782" t="s">
        <v>4275</v>
      </c>
      <c r="V782" t="s">
        <v>5767</v>
      </c>
      <c r="W782" t="s">
        <v>5772</v>
      </c>
      <c r="X782" t="s">
        <v>242</v>
      </c>
      <c r="Y782">
        <v>1281</v>
      </c>
      <c r="Z782" t="s">
        <v>5803</v>
      </c>
      <c r="AA782" t="s">
        <v>5804</v>
      </c>
      <c r="AC782" t="s">
        <v>6545</v>
      </c>
      <c r="AD782" t="s">
        <v>7577</v>
      </c>
      <c r="AE782" t="s">
        <v>8533</v>
      </c>
      <c r="AF782">
        <v>100</v>
      </c>
      <c r="AG782" t="s">
        <v>9272</v>
      </c>
      <c r="AH782" t="s">
        <v>4280</v>
      </c>
      <c r="AI782">
        <v>8</v>
      </c>
      <c r="AJ782">
        <v>2</v>
      </c>
      <c r="AK782">
        <v>0</v>
      </c>
      <c r="AL782">
        <v>162.65</v>
      </c>
      <c r="AO782" t="s">
        <v>9298</v>
      </c>
      <c r="AP782">
        <v>26772</v>
      </c>
      <c r="AV782">
        <v>56.5</v>
      </c>
      <c r="AW782" t="s">
        <v>74</v>
      </c>
    </row>
    <row r="783" spans="1:49">
      <c r="A783" s="1">
        <f>HYPERLINK("https://cms.ls-nyc.org/matter/dynamic-profile/view/1874586","18-1874586")</f>
        <v>0</v>
      </c>
      <c r="B783" t="s">
        <v>67</v>
      </c>
      <c r="C783" t="s">
        <v>82</v>
      </c>
      <c r="D783" t="s">
        <v>103</v>
      </c>
      <c r="E783" t="s">
        <v>101</v>
      </c>
      <c r="F783" t="s">
        <v>907</v>
      </c>
      <c r="G783" t="s">
        <v>1508</v>
      </c>
      <c r="H783" t="s">
        <v>3034</v>
      </c>
      <c r="I783">
        <v>402</v>
      </c>
      <c r="J783" t="s">
        <v>4254</v>
      </c>
      <c r="K783">
        <v>11692</v>
      </c>
      <c r="L783" t="s">
        <v>4275</v>
      </c>
      <c r="M783" t="s">
        <v>4275</v>
      </c>
      <c r="O783" t="s">
        <v>4283</v>
      </c>
      <c r="P783" t="s">
        <v>4976</v>
      </c>
      <c r="Q783" t="s">
        <v>5731</v>
      </c>
      <c r="R783" t="s">
        <v>5751</v>
      </c>
      <c r="S783" t="s">
        <v>5758</v>
      </c>
      <c r="T783" t="s">
        <v>4276</v>
      </c>
      <c r="V783" t="s">
        <v>5767</v>
      </c>
      <c r="W783" t="s">
        <v>5771</v>
      </c>
      <c r="X783" t="s">
        <v>103</v>
      </c>
      <c r="Y783">
        <v>2300</v>
      </c>
      <c r="Z783" t="s">
        <v>5803</v>
      </c>
      <c r="AA783" t="s">
        <v>5804</v>
      </c>
      <c r="AB783" t="s">
        <v>5820</v>
      </c>
      <c r="AC783" t="s">
        <v>6546</v>
      </c>
      <c r="AD783" t="s">
        <v>7289</v>
      </c>
      <c r="AE783" t="s">
        <v>8534</v>
      </c>
      <c r="AF783">
        <v>8</v>
      </c>
      <c r="AG783" t="s">
        <v>9273</v>
      </c>
      <c r="AH783" t="s">
        <v>9282</v>
      </c>
      <c r="AI783">
        <v>2</v>
      </c>
      <c r="AJ783">
        <v>3</v>
      </c>
      <c r="AK783">
        <v>1</v>
      </c>
      <c r="AL783">
        <v>164.18</v>
      </c>
      <c r="AO783" t="s">
        <v>1425</v>
      </c>
      <c r="AP783">
        <v>41210</v>
      </c>
      <c r="AR783" t="s">
        <v>9326</v>
      </c>
      <c r="AS783" t="s">
        <v>9336</v>
      </c>
      <c r="AT783" t="s">
        <v>9369</v>
      </c>
      <c r="AU783" t="s">
        <v>9482</v>
      </c>
      <c r="AV783">
        <v>29.65</v>
      </c>
      <c r="AW783" t="s">
        <v>54</v>
      </c>
    </row>
    <row r="784" spans="1:49">
      <c r="A784" s="1">
        <f>HYPERLINK("https://cms.ls-nyc.org/matter/dynamic-profile/view/1889619","19-1889619")</f>
        <v>0</v>
      </c>
      <c r="B784" t="s">
        <v>67</v>
      </c>
      <c r="C784" t="s">
        <v>83</v>
      </c>
      <c r="D784" t="s">
        <v>171</v>
      </c>
      <c r="F784" t="s">
        <v>398</v>
      </c>
      <c r="G784" t="s">
        <v>1981</v>
      </c>
      <c r="H784" t="s">
        <v>3170</v>
      </c>
      <c r="J784" t="s">
        <v>4222</v>
      </c>
      <c r="K784">
        <v>11434</v>
      </c>
      <c r="L784" t="s">
        <v>4275</v>
      </c>
      <c r="M784" t="s">
        <v>4275</v>
      </c>
      <c r="N784" t="s">
        <v>4278</v>
      </c>
      <c r="O784" t="s">
        <v>4281</v>
      </c>
      <c r="P784" t="s">
        <v>4977</v>
      </c>
      <c r="Q784" t="s">
        <v>5732</v>
      </c>
      <c r="R784" t="s">
        <v>5751</v>
      </c>
      <c r="T784" t="s">
        <v>4276</v>
      </c>
      <c r="V784" t="s">
        <v>5767</v>
      </c>
      <c r="W784" t="s">
        <v>5772</v>
      </c>
      <c r="X784" t="s">
        <v>171</v>
      </c>
      <c r="Y784">
        <v>1100</v>
      </c>
      <c r="Z784" t="s">
        <v>5803</v>
      </c>
      <c r="AA784" t="s">
        <v>5804</v>
      </c>
      <c r="AC784" t="s">
        <v>6547</v>
      </c>
      <c r="AE784" t="s">
        <v>8535</v>
      </c>
      <c r="AF784">
        <v>2</v>
      </c>
      <c r="AG784" t="s">
        <v>9269</v>
      </c>
      <c r="AH784" t="s">
        <v>4280</v>
      </c>
      <c r="AI784">
        <v>7</v>
      </c>
      <c r="AJ784">
        <v>2</v>
      </c>
      <c r="AK784">
        <v>3</v>
      </c>
      <c r="AL784">
        <v>165.73</v>
      </c>
      <c r="AO784" t="s">
        <v>1425</v>
      </c>
      <c r="AP784">
        <v>50000</v>
      </c>
      <c r="AR784" t="s">
        <v>9327</v>
      </c>
      <c r="AS784" t="s">
        <v>5806</v>
      </c>
      <c r="AT784" t="s">
        <v>9370</v>
      </c>
      <c r="AU784" t="s">
        <v>9438</v>
      </c>
      <c r="AV784">
        <v>10.2</v>
      </c>
      <c r="AW784" t="s">
        <v>73</v>
      </c>
    </row>
    <row r="785" spans="1:49">
      <c r="A785" s="1">
        <f>HYPERLINK("https://cms.ls-nyc.org/matter/dynamic-profile/view/1873746","18-1873746")</f>
        <v>0</v>
      </c>
      <c r="B785" t="s">
        <v>67</v>
      </c>
      <c r="C785" t="s">
        <v>82</v>
      </c>
      <c r="D785" t="s">
        <v>112</v>
      </c>
      <c r="E785" t="s">
        <v>177</v>
      </c>
      <c r="F785" t="s">
        <v>908</v>
      </c>
      <c r="G785" t="s">
        <v>1982</v>
      </c>
      <c r="H785" t="s">
        <v>3171</v>
      </c>
      <c r="I785" t="s">
        <v>3945</v>
      </c>
      <c r="J785" t="s">
        <v>4243</v>
      </c>
      <c r="K785">
        <v>11693</v>
      </c>
      <c r="L785" t="s">
        <v>4275</v>
      </c>
      <c r="M785" t="s">
        <v>4275</v>
      </c>
      <c r="O785" t="s">
        <v>4283</v>
      </c>
      <c r="P785" t="s">
        <v>4978</v>
      </c>
      <c r="Q785" t="s">
        <v>5732</v>
      </c>
      <c r="R785" t="s">
        <v>5753</v>
      </c>
      <c r="S785" t="s">
        <v>5759</v>
      </c>
      <c r="T785" t="s">
        <v>4276</v>
      </c>
      <c r="V785" t="s">
        <v>5767</v>
      </c>
      <c r="W785" t="s">
        <v>5771</v>
      </c>
      <c r="X785" t="s">
        <v>112</v>
      </c>
      <c r="Y785">
        <v>600</v>
      </c>
      <c r="Z785" t="s">
        <v>5803</v>
      </c>
      <c r="AA785" t="s">
        <v>5804</v>
      </c>
      <c r="AB785" t="s">
        <v>5821</v>
      </c>
      <c r="AC785" t="s">
        <v>6548</v>
      </c>
      <c r="AD785" t="s">
        <v>4280</v>
      </c>
      <c r="AE785" t="s">
        <v>8536</v>
      </c>
      <c r="AF785">
        <v>2</v>
      </c>
      <c r="AG785" t="s">
        <v>9269</v>
      </c>
      <c r="AH785" t="s">
        <v>4280</v>
      </c>
      <c r="AI785">
        <v>4</v>
      </c>
      <c r="AJ785">
        <v>1</v>
      </c>
      <c r="AK785">
        <v>0</v>
      </c>
      <c r="AL785">
        <v>171.33</v>
      </c>
      <c r="AO785" t="s">
        <v>1425</v>
      </c>
      <c r="AP785">
        <v>20800</v>
      </c>
      <c r="AV785">
        <v>0.9</v>
      </c>
      <c r="AW785" t="s">
        <v>54</v>
      </c>
    </row>
    <row r="786" spans="1:49">
      <c r="A786" s="1">
        <f>HYPERLINK("https://cms.ls-nyc.org/matter/dynamic-profile/view/1873265","18-1873265")</f>
        <v>0</v>
      </c>
      <c r="B786" t="s">
        <v>67</v>
      </c>
      <c r="C786" t="s">
        <v>82</v>
      </c>
      <c r="D786" t="s">
        <v>133</v>
      </c>
      <c r="E786" t="s">
        <v>118</v>
      </c>
      <c r="F786" t="s">
        <v>909</v>
      </c>
      <c r="G786" t="s">
        <v>1983</v>
      </c>
      <c r="H786" t="s">
        <v>3172</v>
      </c>
      <c r="I786" t="s">
        <v>3864</v>
      </c>
      <c r="J786" t="s">
        <v>4222</v>
      </c>
      <c r="K786">
        <v>11436</v>
      </c>
      <c r="L786" t="s">
        <v>4275</v>
      </c>
      <c r="M786" t="s">
        <v>4275</v>
      </c>
      <c r="O786" t="s">
        <v>4283</v>
      </c>
      <c r="P786" t="s">
        <v>4979</v>
      </c>
      <c r="Q786" t="s">
        <v>5732</v>
      </c>
      <c r="R786" t="s">
        <v>5753</v>
      </c>
      <c r="S786" t="s">
        <v>5759</v>
      </c>
      <c r="T786" t="s">
        <v>4276</v>
      </c>
      <c r="V786" t="s">
        <v>5767</v>
      </c>
      <c r="W786" t="s">
        <v>5772</v>
      </c>
      <c r="X786" t="s">
        <v>133</v>
      </c>
      <c r="Y786">
        <v>1600</v>
      </c>
      <c r="Z786" t="s">
        <v>5803</v>
      </c>
      <c r="AA786" t="s">
        <v>5804</v>
      </c>
      <c r="AB786" t="s">
        <v>5821</v>
      </c>
      <c r="AC786" t="s">
        <v>6549</v>
      </c>
      <c r="AD786" t="s">
        <v>4280</v>
      </c>
      <c r="AE786" t="s">
        <v>8537</v>
      </c>
      <c r="AF786">
        <v>2</v>
      </c>
      <c r="AG786" t="s">
        <v>9269</v>
      </c>
      <c r="AH786" t="s">
        <v>4280</v>
      </c>
      <c r="AI786">
        <v>5</v>
      </c>
      <c r="AJ786">
        <v>4</v>
      </c>
      <c r="AK786">
        <v>0</v>
      </c>
      <c r="AL786">
        <v>175.3</v>
      </c>
      <c r="AO786" t="s">
        <v>1425</v>
      </c>
      <c r="AP786">
        <v>44000</v>
      </c>
      <c r="AV786">
        <v>1.2</v>
      </c>
      <c r="AW786" t="s">
        <v>73</v>
      </c>
    </row>
    <row r="787" spans="1:49">
      <c r="A787" s="1">
        <f>HYPERLINK("https://cms.ls-nyc.org/matter/dynamic-profile/view/1901133","19-1901133")</f>
        <v>0</v>
      </c>
      <c r="B787" t="s">
        <v>67</v>
      </c>
      <c r="C787" t="s">
        <v>83</v>
      </c>
      <c r="D787" t="s">
        <v>90</v>
      </c>
      <c r="F787" t="s">
        <v>634</v>
      </c>
      <c r="G787" t="s">
        <v>1492</v>
      </c>
      <c r="H787" t="s">
        <v>3173</v>
      </c>
      <c r="I787">
        <v>3</v>
      </c>
      <c r="J787" t="s">
        <v>4245</v>
      </c>
      <c r="K787">
        <v>11418</v>
      </c>
      <c r="L787" t="s">
        <v>4275</v>
      </c>
      <c r="M787" t="s">
        <v>4277</v>
      </c>
      <c r="N787" t="s">
        <v>4278</v>
      </c>
      <c r="O787" t="s">
        <v>4283</v>
      </c>
      <c r="P787" t="s">
        <v>4980</v>
      </c>
      <c r="Q787" t="s">
        <v>5731</v>
      </c>
      <c r="R787" t="s">
        <v>5751</v>
      </c>
      <c r="T787" t="s">
        <v>4276</v>
      </c>
      <c r="V787" t="s">
        <v>5767</v>
      </c>
      <c r="W787" t="s">
        <v>5772</v>
      </c>
      <c r="X787" t="s">
        <v>5790</v>
      </c>
      <c r="Y787">
        <v>1500</v>
      </c>
      <c r="Z787" t="s">
        <v>5803</v>
      </c>
      <c r="AA787" t="s">
        <v>5804</v>
      </c>
      <c r="AC787" t="s">
        <v>6550</v>
      </c>
      <c r="AE787" t="s">
        <v>8538</v>
      </c>
      <c r="AF787">
        <v>2</v>
      </c>
      <c r="AG787" t="s">
        <v>9272</v>
      </c>
      <c r="AH787" t="s">
        <v>4280</v>
      </c>
      <c r="AI787">
        <v>6</v>
      </c>
      <c r="AJ787">
        <v>1</v>
      </c>
      <c r="AK787">
        <v>2</v>
      </c>
      <c r="AL787">
        <v>187.23</v>
      </c>
      <c r="AO787" t="s">
        <v>1425</v>
      </c>
      <c r="AP787">
        <v>39936</v>
      </c>
      <c r="AV787">
        <v>12.4</v>
      </c>
      <c r="AW787" t="s">
        <v>9549</v>
      </c>
    </row>
    <row r="788" spans="1:49">
      <c r="A788" s="1">
        <f>HYPERLINK("https://cms.ls-nyc.org/matter/dynamic-profile/view/1898372","19-1898372")</f>
        <v>0</v>
      </c>
      <c r="B788" t="s">
        <v>67</v>
      </c>
      <c r="C788" t="s">
        <v>82</v>
      </c>
      <c r="D788" t="s">
        <v>129</v>
      </c>
      <c r="E788" t="s">
        <v>104</v>
      </c>
      <c r="F788" t="s">
        <v>910</v>
      </c>
      <c r="G788" t="s">
        <v>1984</v>
      </c>
      <c r="H788" t="s">
        <v>3174</v>
      </c>
      <c r="I788" t="s">
        <v>4080</v>
      </c>
      <c r="J788" t="s">
        <v>4251</v>
      </c>
      <c r="K788">
        <v>11377</v>
      </c>
      <c r="L788" t="s">
        <v>4275</v>
      </c>
      <c r="M788" t="s">
        <v>4275</v>
      </c>
      <c r="O788" t="s">
        <v>4284</v>
      </c>
      <c r="P788" t="s">
        <v>4915</v>
      </c>
      <c r="Q788" t="s">
        <v>4698</v>
      </c>
      <c r="R788" t="s">
        <v>5753</v>
      </c>
      <c r="S788" t="s">
        <v>5759</v>
      </c>
      <c r="T788" t="s">
        <v>4276</v>
      </c>
      <c r="V788" t="s">
        <v>5767</v>
      </c>
      <c r="W788" t="s">
        <v>5772</v>
      </c>
      <c r="X788" t="s">
        <v>129</v>
      </c>
      <c r="Y788">
        <v>1160</v>
      </c>
      <c r="Z788" t="s">
        <v>5803</v>
      </c>
      <c r="AA788" t="s">
        <v>5815</v>
      </c>
      <c r="AB788" t="s">
        <v>5821</v>
      </c>
      <c r="AC788" t="s">
        <v>6551</v>
      </c>
      <c r="AE788" t="s">
        <v>8539</v>
      </c>
      <c r="AF788">
        <v>40</v>
      </c>
      <c r="AG788" t="s">
        <v>9272</v>
      </c>
      <c r="AH788" t="s">
        <v>4280</v>
      </c>
      <c r="AI788">
        <v>7</v>
      </c>
      <c r="AJ788">
        <v>2</v>
      </c>
      <c r="AK788">
        <v>0</v>
      </c>
      <c r="AL788">
        <v>199.88</v>
      </c>
      <c r="AM788" t="s">
        <v>9291</v>
      </c>
      <c r="AN788" t="s">
        <v>9295</v>
      </c>
      <c r="AO788" t="s">
        <v>1425</v>
      </c>
      <c r="AP788">
        <v>33800</v>
      </c>
      <c r="AV788">
        <v>1.1</v>
      </c>
      <c r="AW788" t="s">
        <v>67</v>
      </c>
    </row>
    <row r="789" spans="1:49">
      <c r="A789" s="1">
        <f>HYPERLINK("https://cms.ls-nyc.org/matter/dynamic-profile/view/1888648","19-1888648")</f>
        <v>0</v>
      </c>
      <c r="B789" t="s">
        <v>67</v>
      </c>
      <c r="C789" t="s">
        <v>82</v>
      </c>
      <c r="D789" t="s">
        <v>125</v>
      </c>
      <c r="E789" t="s">
        <v>239</v>
      </c>
      <c r="F789" t="s">
        <v>911</v>
      </c>
      <c r="G789" t="s">
        <v>1742</v>
      </c>
      <c r="H789" t="s">
        <v>3175</v>
      </c>
      <c r="I789" t="s">
        <v>3874</v>
      </c>
      <c r="J789" t="s">
        <v>4255</v>
      </c>
      <c r="K789">
        <v>11372</v>
      </c>
      <c r="L789" t="s">
        <v>4275</v>
      </c>
      <c r="M789" t="s">
        <v>4275</v>
      </c>
      <c r="O789" t="s">
        <v>4284</v>
      </c>
      <c r="P789" t="s">
        <v>4280</v>
      </c>
      <c r="Q789" t="s">
        <v>4698</v>
      </c>
      <c r="R789" t="s">
        <v>5753</v>
      </c>
      <c r="S789" t="s">
        <v>5759</v>
      </c>
      <c r="T789" t="s">
        <v>4276</v>
      </c>
      <c r="V789" t="s">
        <v>5767</v>
      </c>
      <c r="W789" t="s">
        <v>5772</v>
      </c>
      <c r="X789" t="s">
        <v>125</v>
      </c>
      <c r="Y789">
        <v>0</v>
      </c>
      <c r="Z789" t="s">
        <v>5803</v>
      </c>
      <c r="AA789" t="s">
        <v>5815</v>
      </c>
      <c r="AB789" t="s">
        <v>5821</v>
      </c>
      <c r="AC789" t="s">
        <v>6552</v>
      </c>
      <c r="AE789" t="s">
        <v>8540</v>
      </c>
      <c r="AF789">
        <v>120</v>
      </c>
      <c r="AG789" t="s">
        <v>9275</v>
      </c>
      <c r="AH789" t="s">
        <v>4280</v>
      </c>
      <c r="AI789">
        <v>2</v>
      </c>
      <c r="AJ789">
        <v>2</v>
      </c>
      <c r="AK789">
        <v>0</v>
      </c>
      <c r="AL789">
        <v>295.68</v>
      </c>
      <c r="AM789" t="s">
        <v>9291</v>
      </c>
      <c r="AN789" t="s">
        <v>9295</v>
      </c>
      <c r="AO789" t="s">
        <v>1425</v>
      </c>
      <c r="AP789">
        <v>50000</v>
      </c>
      <c r="AV789">
        <v>0.95</v>
      </c>
      <c r="AW789" t="s">
        <v>67</v>
      </c>
    </row>
    <row r="790" spans="1:49">
      <c r="A790" s="1">
        <f>HYPERLINK("https://cms.ls-nyc.org/matter/dynamic-profile/view/1896395","19-1896395")</f>
        <v>0</v>
      </c>
      <c r="B790" t="s">
        <v>67</v>
      </c>
      <c r="C790" t="s">
        <v>83</v>
      </c>
      <c r="D790" t="s">
        <v>246</v>
      </c>
      <c r="F790" t="s">
        <v>912</v>
      </c>
      <c r="G790" t="s">
        <v>1640</v>
      </c>
      <c r="H790" t="s">
        <v>3176</v>
      </c>
      <c r="I790" t="s">
        <v>3849</v>
      </c>
      <c r="J790" t="s">
        <v>4243</v>
      </c>
      <c r="K790">
        <v>11691</v>
      </c>
      <c r="L790" t="s">
        <v>4275</v>
      </c>
      <c r="M790" t="s">
        <v>4277</v>
      </c>
      <c r="N790" t="s">
        <v>4278</v>
      </c>
      <c r="O790" t="s">
        <v>4283</v>
      </c>
      <c r="P790" t="s">
        <v>4981</v>
      </c>
      <c r="Q790" t="s">
        <v>5732</v>
      </c>
      <c r="R790" t="s">
        <v>5751</v>
      </c>
      <c r="T790" t="s">
        <v>4276</v>
      </c>
      <c r="V790" t="s">
        <v>5767</v>
      </c>
      <c r="W790" t="s">
        <v>5772</v>
      </c>
      <c r="X790" t="s">
        <v>87</v>
      </c>
      <c r="Y790">
        <v>1100</v>
      </c>
      <c r="Z790" t="s">
        <v>5803</v>
      </c>
      <c r="AA790" t="s">
        <v>5818</v>
      </c>
      <c r="AC790" t="s">
        <v>6553</v>
      </c>
      <c r="AD790" t="s">
        <v>4280</v>
      </c>
      <c r="AE790" t="s">
        <v>8541</v>
      </c>
      <c r="AF790">
        <v>1</v>
      </c>
      <c r="AG790" t="s">
        <v>9269</v>
      </c>
      <c r="AH790" t="s">
        <v>4280</v>
      </c>
      <c r="AI790">
        <v>-1</v>
      </c>
      <c r="AJ790">
        <v>2</v>
      </c>
      <c r="AK790">
        <v>0</v>
      </c>
      <c r="AL790">
        <v>354.82</v>
      </c>
      <c r="AN790" t="s">
        <v>9293</v>
      </c>
      <c r="AO790" t="s">
        <v>1425</v>
      </c>
      <c r="AP790">
        <v>60000</v>
      </c>
      <c r="AV790">
        <v>9.35</v>
      </c>
      <c r="AW790" t="s">
        <v>9558</v>
      </c>
    </row>
    <row r="791" spans="1:49">
      <c r="A791" s="1">
        <f>HYPERLINK("https://cms.ls-nyc.org/matter/dynamic-profile/view/1885373","18-1885373")</f>
        <v>0</v>
      </c>
      <c r="B791" t="s">
        <v>67</v>
      </c>
      <c r="C791" t="s">
        <v>82</v>
      </c>
      <c r="D791" t="s">
        <v>185</v>
      </c>
      <c r="E791" t="s">
        <v>255</v>
      </c>
      <c r="F791" t="s">
        <v>913</v>
      </c>
      <c r="G791" t="s">
        <v>1985</v>
      </c>
      <c r="H791" t="s">
        <v>3177</v>
      </c>
      <c r="I791" t="s">
        <v>3934</v>
      </c>
      <c r="J791" t="s">
        <v>4245</v>
      </c>
      <c r="K791">
        <v>11418</v>
      </c>
      <c r="L791" t="s">
        <v>4275</v>
      </c>
      <c r="M791" t="s">
        <v>4275</v>
      </c>
      <c r="O791" t="s">
        <v>4284</v>
      </c>
      <c r="P791" t="s">
        <v>4700</v>
      </c>
      <c r="Q791" t="s">
        <v>4698</v>
      </c>
      <c r="R791" t="s">
        <v>5753</v>
      </c>
      <c r="S791" t="s">
        <v>5759</v>
      </c>
      <c r="T791" t="s">
        <v>4276</v>
      </c>
      <c r="V791" t="s">
        <v>5767</v>
      </c>
      <c r="W791" t="s">
        <v>5772</v>
      </c>
      <c r="X791" t="s">
        <v>185</v>
      </c>
      <c r="Y791">
        <v>1950</v>
      </c>
      <c r="Z791" t="s">
        <v>5803</v>
      </c>
      <c r="AA791" t="s">
        <v>5815</v>
      </c>
      <c r="AB791" t="s">
        <v>5821</v>
      </c>
      <c r="AC791" t="s">
        <v>6554</v>
      </c>
      <c r="AD791" t="s">
        <v>4280</v>
      </c>
      <c r="AE791" t="s">
        <v>7289</v>
      </c>
      <c r="AF791">
        <v>18</v>
      </c>
      <c r="AG791" t="s">
        <v>9269</v>
      </c>
      <c r="AH791" t="s">
        <v>4280</v>
      </c>
      <c r="AI791">
        <v>1</v>
      </c>
      <c r="AJ791">
        <v>1</v>
      </c>
      <c r="AK791">
        <v>0</v>
      </c>
      <c r="AL791">
        <v>370.68</v>
      </c>
      <c r="AM791" t="s">
        <v>9291</v>
      </c>
      <c r="AN791" t="s">
        <v>9295</v>
      </c>
      <c r="AO791" t="s">
        <v>1425</v>
      </c>
      <c r="AP791">
        <v>45000</v>
      </c>
      <c r="AV791">
        <v>1.9</v>
      </c>
      <c r="AW791" t="s">
        <v>67</v>
      </c>
    </row>
    <row r="792" spans="1:49">
      <c r="A792" s="1">
        <f>HYPERLINK("https://cms.ls-nyc.org/matter/dynamic-profile/view/1888668","19-1888668")</f>
        <v>0</v>
      </c>
      <c r="B792" t="s">
        <v>67</v>
      </c>
      <c r="C792" t="s">
        <v>82</v>
      </c>
      <c r="D792" t="s">
        <v>125</v>
      </c>
      <c r="E792" t="s">
        <v>239</v>
      </c>
      <c r="F792" t="s">
        <v>914</v>
      </c>
      <c r="G792" t="s">
        <v>1986</v>
      </c>
      <c r="H792" t="s">
        <v>3178</v>
      </c>
      <c r="I792" t="s">
        <v>3878</v>
      </c>
      <c r="J792" t="s">
        <v>4253</v>
      </c>
      <c r="K792">
        <v>11422</v>
      </c>
      <c r="L792" t="s">
        <v>4275</v>
      </c>
      <c r="M792" t="s">
        <v>4275</v>
      </c>
      <c r="O792" t="s">
        <v>4284</v>
      </c>
      <c r="P792" t="s">
        <v>4280</v>
      </c>
      <c r="Q792" t="s">
        <v>4698</v>
      </c>
      <c r="R792" t="s">
        <v>5753</v>
      </c>
      <c r="S792" t="s">
        <v>5759</v>
      </c>
      <c r="T792" t="s">
        <v>4276</v>
      </c>
      <c r="V792" t="s">
        <v>5767</v>
      </c>
      <c r="W792" t="s">
        <v>5772</v>
      </c>
      <c r="X792" t="s">
        <v>125</v>
      </c>
      <c r="Y792">
        <v>1000</v>
      </c>
      <c r="Z792" t="s">
        <v>5803</v>
      </c>
      <c r="AA792" t="s">
        <v>5815</v>
      </c>
      <c r="AB792" t="s">
        <v>5821</v>
      </c>
      <c r="AC792" t="s">
        <v>6555</v>
      </c>
      <c r="AE792" t="s">
        <v>8542</v>
      </c>
      <c r="AF792">
        <v>2</v>
      </c>
      <c r="AG792" t="s">
        <v>9269</v>
      </c>
      <c r="AH792" t="s">
        <v>4280</v>
      </c>
      <c r="AI792">
        <v>-1</v>
      </c>
      <c r="AJ792">
        <v>1</v>
      </c>
      <c r="AK792">
        <v>0</v>
      </c>
      <c r="AL792">
        <v>376.3</v>
      </c>
      <c r="AM792" t="s">
        <v>9291</v>
      </c>
      <c r="AN792" t="s">
        <v>9295</v>
      </c>
      <c r="AO792" t="s">
        <v>1425</v>
      </c>
      <c r="AP792">
        <v>47000</v>
      </c>
      <c r="AV792">
        <v>0.9</v>
      </c>
      <c r="AW792" t="s">
        <v>67</v>
      </c>
    </row>
    <row r="793" spans="1:49">
      <c r="A793" s="1">
        <f>HYPERLINK("https://cms.ls-nyc.org/matter/dynamic-profile/view/1877573","18-1877573")</f>
        <v>0</v>
      </c>
      <c r="B793" t="s">
        <v>67</v>
      </c>
      <c r="C793" t="s">
        <v>82</v>
      </c>
      <c r="D793" t="s">
        <v>180</v>
      </c>
      <c r="E793" t="s">
        <v>228</v>
      </c>
      <c r="F793" t="s">
        <v>617</v>
      </c>
      <c r="G793" t="s">
        <v>1987</v>
      </c>
      <c r="H793" t="s">
        <v>3179</v>
      </c>
      <c r="I793" t="s">
        <v>3864</v>
      </c>
      <c r="J793" t="s">
        <v>4242</v>
      </c>
      <c r="K793">
        <v>11364</v>
      </c>
      <c r="L793" t="s">
        <v>4275</v>
      </c>
      <c r="M793" t="s">
        <v>4275</v>
      </c>
      <c r="O793" t="s">
        <v>4284</v>
      </c>
      <c r="P793" t="s">
        <v>4280</v>
      </c>
      <c r="Q793" t="s">
        <v>4698</v>
      </c>
      <c r="R793" t="s">
        <v>5753</v>
      </c>
      <c r="S793" t="s">
        <v>5759</v>
      </c>
      <c r="T793" t="s">
        <v>4276</v>
      </c>
      <c r="V793" t="s">
        <v>5767</v>
      </c>
      <c r="W793" t="s">
        <v>5772</v>
      </c>
      <c r="X793" t="s">
        <v>180</v>
      </c>
      <c r="Y793">
        <v>0</v>
      </c>
      <c r="Z793" t="s">
        <v>5803</v>
      </c>
      <c r="AA793" t="s">
        <v>5815</v>
      </c>
      <c r="AB793" t="s">
        <v>5821</v>
      </c>
      <c r="AC793" t="s">
        <v>6556</v>
      </c>
      <c r="AD793" t="s">
        <v>4280</v>
      </c>
      <c r="AE793" t="s">
        <v>8543</v>
      </c>
      <c r="AF793">
        <v>194</v>
      </c>
      <c r="AG793" t="s">
        <v>9275</v>
      </c>
      <c r="AH793" t="s">
        <v>4280</v>
      </c>
      <c r="AI793">
        <v>2</v>
      </c>
      <c r="AJ793">
        <v>2</v>
      </c>
      <c r="AK793">
        <v>0</v>
      </c>
      <c r="AL793">
        <v>413.12</v>
      </c>
      <c r="AM793" t="s">
        <v>9291</v>
      </c>
      <c r="AN793" t="s">
        <v>9295</v>
      </c>
      <c r="AO793" t="s">
        <v>1425</v>
      </c>
      <c r="AP793">
        <v>68000</v>
      </c>
      <c r="AV793">
        <v>0.8</v>
      </c>
      <c r="AW793" t="s">
        <v>67</v>
      </c>
    </row>
    <row r="794" spans="1:49">
      <c r="A794" s="1">
        <f>HYPERLINK("https://cms.ls-nyc.org/matter/dynamic-profile/view/1871622","18-1871622")</f>
        <v>0</v>
      </c>
      <c r="B794" t="s">
        <v>67</v>
      </c>
      <c r="C794" t="s">
        <v>82</v>
      </c>
      <c r="D794" t="s">
        <v>254</v>
      </c>
      <c r="E794" t="s">
        <v>293</v>
      </c>
      <c r="F794" t="s">
        <v>915</v>
      </c>
      <c r="G794" t="s">
        <v>1988</v>
      </c>
      <c r="H794" t="s">
        <v>3180</v>
      </c>
      <c r="I794" t="s">
        <v>4081</v>
      </c>
      <c r="J794" t="s">
        <v>4255</v>
      </c>
      <c r="K794">
        <v>11372</v>
      </c>
      <c r="L794" t="s">
        <v>4275</v>
      </c>
      <c r="M794" t="s">
        <v>4275</v>
      </c>
      <c r="O794" t="s">
        <v>4283</v>
      </c>
      <c r="P794" t="s">
        <v>4982</v>
      </c>
      <c r="Q794" t="s">
        <v>5732</v>
      </c>
      <c r="R794" t="s">
        <v>5753</v>
      </c>
      <c r="S794" t="s">
        <v>5759</v>
      </c>
      <c r="T794" t="s">
        <v>4276</v>
      </c>
      <c r="V794" t="s">
        <v>5767</v>
      </c>
      <c r="W794" t="s">
        <v>5772</v>
      </c>
      <c r="X794" t="s">
        <v>5791</v>
      </c>
      <c r="Y794">
        <v>2450</v>
      </c>
      <c r="Z794" t="s">
        <v>5803</v>
      </c>
      <c r="AA794" t="s">
        <v>5804</v>
      </c>
      <c r="AB794" t="s">
        <v>5821</v>
      </c>
      <c r="AC794" t="s">
        <v>6557</v>
      </c>
      <c r="AD794" t="s">
        <v>4280</v>
      </c>
      <c r="AE794" t="s">
        <v>8544</v>
      </c>
      <c r="AF794">
        <v>64</v>
      </c>
      <c r="AG794" t="s">
        <v>9269</v>
      </c>
      <c r="AH794" t="s">
        <v>4280</v>
      </c>
      <c r="AI794">
        <v>3</v>
      </c>
      <c r="AJ794">
        <v>3</v>
      </c>
      <c r="AK794">
        <v>0</v>
      </c>
      <c r="AL794">
        <v>423.48</v>
      </c>
      <c r="AO794" t="s">
        <v>9298</v>
      </c>
      <c r="AP794">
        <v>88000</v>
      </c>
      <c r="AV794">
        <v>1.1</v>
      </c>
      <c r="AW794" t="s">
        <v>54</v>
      </c>
    </row>
    <row r="795" spans="1:49">
      <c r="A795" s="1">
        <f>HYPERLINK("https://cms.ls-nyc.org/matter/dynamic-profile/view/1877076","18-1877076")</f>
        <v>0</v>
      </c>
      <c r="B795" t="s">
        <v>67</v>
      </c>
      <c r="C795" t="s">
        <v>82</v>
      </c>
      <c r="D795" t="s">
        <v>252</v>
      </c>
      <c r="E795" t="s">
        <v>228</v>
      </c>
      <c r="F795" t="s">
        <v>916</v>
      </c>
      <c r="G795" t="s">
        <v>1989</v>
      </c>
      <c r="H795" t="s">
        <v>2976</v>
      </c>
      <c r="I795" t="s">
        <v>3978</v>
      </c>
      <c r="J795" t="s">
        <v>4229</v>
      </c>
      <c r="K795">
        <v>11354</v>
      </c>
      <c r="L795" t="s">
        <v>4275</v>
      </c>
      <c r="M795" t="s">
        <v>4275</v>
      </c>
      <c r="O795" t="s">
        <v>4283</v>
      </c>
      <c r="P795" t="s">
        <v>4280</v>
      </c>
      <c r="Q795" t="s">
        <v>4698</v>
      </c>
      <c r="R795" t="s">
        <v>5753</v>
      </c>
      <c r="S795" t="s">
        <v>5759</v>
      </c>
      <c r="T795" t="s">
        <v>4276</v>
      </c>
      <c r="V795" t="s">
        <v>5767</v>
      </c>
      <c r="W795" t="s">
        <v>5772</v>
      </c>
      <c r="X795" t="s">
        <v>252</v>
      </c>
      <c r="Y795">
        <v>2100</v>
      </c>
      <c r="Z795" t="s">
        <v>5803</v>
      </c>
      <c r="AA795" t="s">
        <v>5811</v>
      </c>
      <c r="AB795" t="s">
        <v>5821</v>
      </c>
      <c r="AC795" t="s">
        <v>6558</v>
      </c>
      <c r="AD795" t="s">
        <v>4280</v>
      </c>
      <c r="AE795" t="s">
        <v>8545</v>
      </c>
      <c r="AF795">
        <v>120</v>
      </c>
      <c r="AG795" t="s">
        <v>9269</v>
      </c>
      <c r="AH795" t="s">
        <v>4280</v>
      </c>
      <c r="AI795">
        <v>1</v>
      </c>
      <c r="AJ795">
        <v>2</v>
      </c>
      <c r="AK795">
        <v>0</v>
      </c>
      <c r="AL795">
        <v>501.22</v>
      </c>
      <c r="AO795" t="s">
        <v>9305</v>
      </c>
      <c r="AP795">
        <v>82500</v>
      </c>
      <c r="AV795">
        <v>1.4</v>
      </c>
      <c r="AW795" t="s">
        <v>67</v>
      </c>
    </row>
    <row r="796" spans="1:49">
      <c r="A796" s="1">
        <f>HYPERLINK("https://cms.ls-nyc.org/matter/dynamic-profile/view/1880061","18-1880061")</f>
        <v>0</v>
      </c>
      <c r="B796" t="s">
        <v>68</v>
      </c>
      <c r="C796" t="s">
        <v>82</v>
      </c>
      <c r="D796" t="s">
        <v>184</v>
      </c>
      <c r="E796" t="s">
        <v>116</v>
      </c>
      <c r="F796" t="s">
        <v>917</v>
      </c>
      <c r="G796" t="s">
        <v>1385</v>
      </c>
      <c r="H796" t="s">
        <v>3181</v>
      </c>
      <c r="I796" t="s">
        <v>3940</v>
      </c>
      <c r="J796" t="s">
        <v>4243</v>
      </c>
      <c r="K796">
        <v>11691</v>
      </c>
      <c r="L796" t="s">
        <v>4275</v>
      </c>
      <c r="M796" t="s">
        <v>4275</v>
      </c>
      <c r="O796" t="s">
        <v>4283</v>
      </c>
      <c r="P796" t="s">
        <v>4983</v>
      </c>
      <c r="Q796" t="s">
        <v>5732</v>
      </c>
      <c r="R796" t="s">
        <v>5751</v>
      </c>
      <c r="S796" t="s">
        <v>5758</v>
      </c>
      <c r="T796" t="s">
        <v>4276</v>
      </c>
      <c r="V796" t="s">
        <v>5767</v>
      </c>
      <c r="W796" t="s">
        <v>5772</v>
      </c>
      <c r="X796" t="s">
        <v>184</v>
      </c>
      <c r="Y796">
        <v>1950</v>
      </c>
      <c r="Z796" t="s">
        <v>5803</v>
      </c>
      <c r="AA796" t="s">
        <v>5804</v>
      </c>
      <c r="AB796" t="s">
        <v>5822</v>
      </c>
      <c r="AC796" t="s">
        <v>6559</v>
      </c>
      <c r="AD796" t="s">
        <v>7289</v>
      </c>
      <c r="AE796" t="s">
        <v>8546</v>
      </c>
      <c r="AF796">
        <v>3</v>
      </c>
      <c r="AG796" t="s">
        <v>9270</v>
      </c>
      <c r="AH796" t="s">
        <v>4280</v>
      </c>
      <c r="AI796">
        <v>1</v>
      </c>
      <c r="AJ796">
        <v>1</v>
      </c>
      <c r="AK796">
        <v>2</v>
      </c>
      <c r="AL796">
        <v>0</v>
      </c>
      <c r="AO796" t="s">
        <v>1425</v>
      </c>
      <c r="AP796">
        <v>0</v>
      </c>
      <c r="AR796" t="s">
        <v>9327</v>
      </c>
      <c r="AS796" t="s">
        <v>5806</v>
      </c>
      <c r="AT796" t="s">
        <v>9370</v>
      </c>
      <c r="AU796" t="s">
        <v>9497</v>
      </c>
      <c r="AV796">
        <v>11.89</v>
      </c>
      <c r="AW796" t="s">
        <v>73</v>
      </c>
    </row>
    <row r="797" spans="1:49">
      <c r="A797" s="1">
        <f>HYPERLINK("https://cms.ls-nyc.org/matter/dynamic-profile/view/1879295","18-1879295")</f>
        <v>0</v>
      </c>
      <c r="B797" t="s">
        <v>68</v>
      </c>
      <c r="C797" t="s">
        <v>82</v>
      </c>
      <c r="D797" t="s">
        <v>220</v>
      </c>
      <c r="E797" t="s">
        <v>268</v>
      </c>
      <c r="F797" t="s">
        <v>918</v>
      </c>
      <c r="G797" t="s">
        <v>1990</v>
      </c>
      <c r="H797" t="s">
        <v>2822</v>
      </c>
      <c r="I797" t="s">
        <v>3900</v>
      </c>
      <c r="J797" t="s">
        <v>4243</v>
      </c>
      <c r="K797">
        <v>11691</v>
      </c>
      <c r="L797" t="s">
        <v>4275</v>
      </c>
      <c r="M797" t="s">
        <v>4275</v>
      </c>
      <c r="O797" t="s">
        <v>4283</v>
      </c>
      <c r="P797" t="s">
        <v>4984</v>
      </c>
      <c r="Q797" t="s">
        <v>5731</v>
      </c>
      <c r="R797" t="s">
        <v>5753</v>
      </c>
      <c r="S797" t="s">
        <v>5759</v>
      </c>
      <c r="T797" t="s">
        <v>4276</v>
      </c>
      <c r="V797" t="s">
        <v>5767</v>
      </c>
      <c r="W797" t="s">
        <v>5774</v>
      </c>
      <c r="X797" t="s">
        <v>220</v>
      </c>
      <c r="Y797">
        <v>1515</v>
      </c>
      <c r="Z797" t="s">
        <v>5803</v>
      </c>
      <c r="AA797" t="s">
        <v>5804</v>
      </c>
      <c r="AB797" t="s">
        <v>5821</v>
      </c>
      <c r="AC797" t="s">
        <v>6560</v>
      </c>
      <c r="AD797" t="s">
        <v>7578</v>
      </c>
      <c r="AF797">
        <v>30</v>
      </c>
      <c r="AG797" t="s">
        <v>9272</v>
      </c>
      <c r="AH797" t="s">
        <v>9283</v>
      </c>
      <c r="AI797">
        <v>1</v>
      </c>
      <c r="AJ797">
        <v>1</v>
      </c>
      <c r="AK797">
        <v>3</v>
      </c>
      <c r="AL797">
        <v>0</v>
      </c>
      <c r="AO797" t="s">
        <v>1425</v>
      </c>
      <c r="AP797">
        <v>0</v>
      </c>
      <c r="AV797">
        <v>3.3</v>
      </c>
      <c r="AW797" t="s">
        <v>73</v>
      </c>
    </row>
    <row r="798" spans="1:49">
      <c r="A798" s="1">
        <f>HYPERLINK("https://cms.ls-nyc.org/matter/dynamic-profile/view/1880726","18-1880726")</f>
        <v>0</v>
      </c>
      <c r="B798" t="s">
        <v>68</v>
      </c>
      <c r="C798" t="s">
        <v>82</v>
      </c>
      <c r="D798" t="s">
        <v>84</v>
      </c>
      <c r="E798" t="s">
        <v>84</v>
      </c>
      <c r="F798" t="s">
        <v>919</v>
      </c>
      <c r="G798" t="s">
        <v>417</v>
      </c>
      <c r="H798" t="s">
        <v>3182</v>
      </c>
      <c r="I798" t="s">
        <v>3878</v>
      </c>
      <c r="J798" t="s">
        <v>4223</v>
      </c>
      <c r="K798">
        <v>11423</v>
      </c>
      <c r="L798" t="s">
        <v>4275</v>
      </c>
      <c r="M798" t="s">
        <v>4275</v>
      </c>
      <c r="O798" t="s">
        <v>4284</v>
      </c>
      <c r="P798" t="s">
        <v>4700</v>
      </c>
      <c r="Q798" t="s">
        <v>4698</v>
      </c>
      <c r="R798" t="s">
        <v>5753</v>
      </c>
      <c r="S798" t="s">
        <v>5759</v>
      </c>
      <c r="T798" t="s">
        <v>4276</v>
      </c>
      <c r="V798" t="s">
        <v>5767</v>
      </c>
      <c r="W798" t="s">
        <v>5772</v>
      </c>
      <c r="X798" t="s">
        <v>84</v>
      </c>
      <c r="Y798">
        <v>1000</v>
      </c>
      <c r="Z798" t="s">
        <v>5803</v>
      </c>
      <c r="AA798" t="s">
        <v>5815</v>
      </c>
      <c r="AB798" t="s">
        <v>5821</v>
      </c>
      <c r="AC798" t="s">
        <v>6561</v>
      </c>
      <c r="AD798" t="s">
        <v>7339</v>
      </c>
      <c r="AE798" t="s">
        <v>7289</v>
      </c>
      <c r="AF798">
        <v>2</v>
      </c>
      <c r="AG798" t="s">
        <v>9269</v>
      </c>
      <c r="AH798" t="s">
        <v>4280</v>
      </c>
      <c r="AI798">
        <v>1</v>
      </c>
      <c r="AJ798">
        <v>1</v>
      </c>
      <c r="AK798">
        <v>2</v>
      </c>
      <c r="AL798">
        <v>0</v>
      </c>
      <c r="AM798" t="s">
        <v>9291</v>
      </c>
      <c r="AN798" t="s">
        <v>9295</v>
      </c>
      <c r="AO798" t="s">
        <v>1425</v>
      </c>
      <c r="AP798">
        <v>0</v>
      </c>
      <c r="AV798">
        <v>1.23</v>
      </c>
      <c r="AW798" t="s">
        <v>68</v>
      </c>
    </row>
    <row r="799" spans="1:49">
      <c r="A799" s="1">
        <f>HYPERLINK("https://cms.ls-nyc.org/matter/dynamic-profile/view/1885383","18-1885383")</f>
        <v>0</v>
      </c>
      <c r="B799" t="s">
        <v>68</v>
      </c>
      <c r="C799" t="s">
        <v>82</v>
      </c>
      <c r="D799" t="s">
        <v>185</v>
      </c>
      <c r="E799" t="s">
        <v>255</v>
      </c>
      <c r="F799" t="s">
        <v>920</v>
      </c>
      <c r="G799" t="s">
        <v>1867</v>
      </c>
      <c r="H799" t="s">
        <v>3183</v>
      </c>
      <c r="I799" t="s">
        <v>3864</v>
      </c>
      <c r="J799" t="s">
        <v>4236</v>
      </c>
      <c r="K799">
        <v>11417</v>
      </c>
      <c r="L799" t="s">
        <v>4275</v>
      </c>
      <c r="M799" t="s">
        <v>4275</v>
      </c>
      <c r="O799" t="s">
        <v>4283</v>
      </c>
      <c r="P799" t="s">
        <v>4985</v>
      </c>
      <c r="Q799" t="s">
        <v>5732</v>
      </c>
      <c r="R799" t="s">
        <v>5753</v>
      </c>
      <c r="S799" t="s">
        <v>5759</v>
      </c>
      <c r="T799" t="s">
        <v>4276</v>
      </c>
      <c r="V799" t="s">
        <v>5767</v>
      </c>
      <c r="W799" t="s">
        <v>5772</v>
      </c>
      <c r="X799" t="s">
        <v>185</v>
      </c>
      <c r="Y799">
        <v>1750</v>
      </c>
      <c r="Z799" t="s">
        <v>5803</v>
      </c>
      <c r="AA799" t="s">
        <v>5804</v>
      </c>
      <c r="AB799" t="s">
        <v>5821</v>
      </c>
      <c r="AC799" t="s">
        <v>6562</v>
      </c>
      <c r="AD799" t="s">
        <v>7579</v>
      </c>
      <c r="AE799" t="s">
        <v>8547</v>
      </c>
      <c r="AF799">
        <v>2</v>
      </c>
      <c r="AG799" t="s">
        <v>9269</v>
      </c>
      <c r="AH799" t="s">
        <v>4280</v>
      </c>
      <c r="AI799">
        <v>1</v>
      </c>
      <c r="AJ799">
        <v>1</v>
      </c>
      <c r="AK799">
        <v>1</v>
      </c>
      <c r="AL799">
        <v>0</v>
      </c>
      <c r="AO799" t="s">
        <v>1425</v>
      </c>
      <c r="AP799">
        <v>0</v>
      </c>
      <c r="AV799">
        <v>0.88</v>
      </c>
      <c r="AW799" t="s">
        <v>73</v>
      </c>
    </row>
    <row r="800" spans="1:49">
      <c r="A800" s="1">
        <f>HYPERLINK("https://cms.ls-nyc.org/matter/dynamic-profile/view/1880749","18-1880749")</f>
        <v>0</v>
      </c>
      <c r="B800" t="s">
        <v>68</v>
      </c>
      <c r="C800" t="s">
        <v>83</v>
      </c>
      <c r="D800" t="s">
        <v>84</v>
      </c>
      <c r="F800" t="s">
        <v>921</v>
      </c>
      <c r="G800" t="s">
        <v>1991</v>
      </c>
      <c r="H800" t="s">
        <v>3184</v>
      </c>
      <c r="I800">
        <v>1</v>
      </c>
      <c r="J800" t="s">
        <v>4236</v>
      </c>
      <c r="K800">
        <v>11416</v>
      </c>
      <c r="L800" t="s">
        <v>4275</v>
      </c>
      <c r="M800" t="s">
        <v>4275</v>
      </c>
      <c r="O800" t="s">
        <v>4284</v>
      </c>
      <c r="P800" t="s">
        <v>4986</v>
      </c>
      <c r="Q800" t="s">
        <v>5731</v>
      </c>
      <c r="R800" t="s">
        <v>5751</v>
      </c>
      <c r="T800" t="s">
        <v>4276</v>
      </c>
      <c r="V800" t="s">
        <v>5767</v>
      </c>
      <c r="W800" t="s">
        <v>5772</v>
      </c>
      <c r="X800" t="s">
        <v>84</v>
      </c>
      <c r="Y800">
        <v>2300</v>
      </c>
      <c r="Z800" t="s">
        <v>5803</v>
      </c>
      <c r="AA800" t="s">
        <v>5815</v>
      </c>
      <c r="AB800" t="s">
        <v>5821</v>
      </c>
      <c r="AC800" t="s">
        <v>6563</v>
      </c>
      <c r="AD800" t="s">
        <v>7339</v>
      </c>
      <c r="AE800" t="s">
        <v>7289</v>
      </c>
      <c r="AF800">
        <v>5</v>
      </c>
      <c r="AG800" t="s">
        <v>9269</v>
      </c>
      <c r="AH800" t="s">
        <v>4280</v>
      </c>
      <c r="AI800">
        <v>1</v>
      </c>
      <c r="AJ800">
        <v>2</v>
      </c>
      <c r="AK800">
        <v>0</v>
      </c>
      <c r="AL800">
        <v>0</v>
      </c>
      <c r="AM800" t="s">
        <v>9291</v>
      </c>
      <c r="AN800" t="s">
        <v>9295</v>
      </c>
      <c r="AO800" t="s">
        <v>9298</v>
      </c>
      <c r="AP800">
        <v>0</v>
      </c>
      <c r="AV800">
        <v>28.8</v>
      </c>
      <c r="AW800" t="s">
        <v>68</v>
      </c>
    </row>
    <row r="801" spans="1:49">
      <c r="A801" s="1">
        <f>HYPERLINK("https://cms.ls-nyc.org/matter/dynamic-profile/view/1897157","19-1897157")</f>
        <v>0</v>
      </c>
      <c r="B801" t="s">
        <v>68</v>
      </c>
      <c r="C801" t="s">
        <v>83</v>
      </c>
      <c r="D801" t="s">
        <v>110</v>
      </c>
      <c r="F801" t="s">
        <v>922</v>
      </c>
      <c r="G801" t="s">
        <v>1779</v>
      </c>
      <c r="H801" t="s">
        <v>3185</v>
      </c>
      <c r="I801" t="s">
        <v>4082</v>
      </c>
      <c r="J801" t="s">
        <v>4251</v>
      </c>
      <c r="K801">
        <v>11377</v>
      </c>
      <c r="L801" t="s">
        <v>4275</v>
      </c>
      <c r="M801" t="s">
        <v>4277</v>
      </c>
      <c r="N801" t="s">
        <v>4278</v>
      </c>
      <c r="O801" t="s">
        <v>4282</v>
      </c>
      <c r="P801" t="s">
        <v>4987</v>
      </c>
      <c r="Q801" t="s">
        <v>5732</v>
      </c>
      <c r="R801" t="s">
        <v>5751</v>
      </c>
      <c r="T801" t="s">
        <v>4276</v>
      </c>
      <c r="V801" t="s">
        <v>5767</v>
      </c>
      <c r="W801" t="s">
        <v>5772</v>
      </c>
      <c r="X801" t="s">
        <v>230</v>
      </c>
      <c r="Y801">
        <v>0</v>
      </c>
      <c r="Z801" t="s">
        <v>5803</v>
      </c>
      <c r="AA801" t="s">
        <v>5805</v>
      </c>
      <c r="AC801" t="s">
        <v>6564</v>
      </c>
      <c r="AE801" t="s">
        <v>8548</v>
      </c>
      <c r="AF801">
        <v>16</v>
      </c>
      <c r="AG801" t="s">
        <v>9275</v>
      </c>
      <c r="AH801" t="s">
        <v>4280</v>
      </c>
      <c r="AI801">
        <v>10</v>
      </c>
      <c r="AJ801">
        <v>1</v>
      </c>
      <c r="AK801">
        <v>0</v>
      </c>
      <c r="AL801">
        <v>0</v>
      </c>
      <c r="AO801" t="s">
        <v>9305</v>
      </c>
      <c r="AP801">
        <v>0</v>
      </c>
      <c r="AV801">
        <v>10.15</v>
      </c>
      <c r="AW801" t="s">
        <v>9551</v>
      </c>
    </row>
    <row r="802" spans="1:49">
      <c r="A802" s="1">
        <f>HYPERLINK("https://cms.ls-nyc.org/matter/dynamic-profile/view/1885022","18-1885022")</f>
        <v>0</v>
      </c>
      <c r="B802" t="s">
        <v>68</v>
      </c>
      <c r="C802" t="s">
        <v>82</v>
      </c>
      <c r="D802" t="s">
        <v>190</v>
      </c>
      <c r="E802" t="s">
        <v>163</v>
      </c>
      <c r="F802" t="s">
        <v>923</v>
      </c>
      <c r="G802" t="s">
        <v>1992</v>
      </c>
      <c r="H802" t="s">
        <v>3186</v>
      </c>
      <c r="I802" t="s">
        <v>3878</v>
      </c>
      <c r="J802" t="s">
        <v>4229</v>
      </c>
      <c r="K802">
        <v>11358</v>
      </c>
      <c r="L802" t="s">
        <v>4275</v>
      </c>
      <c r="M802" t="s">
        <v>4275</v>
      </c>
      <c r="O802" t="s">
        <v>4283</v>
      </c>
      <c r="P802" t="s">
        <v>4988</v>
      </c>
      <c r="Q802" t="s">
        <v>5732</v>
      </c>
      <c r="R802" t="s">
        <v>5751</v>
      </c>
      <c r="S802" t="s">
        <v>5758</v>
      </c>
      <c r="T802" t="s">
        <v>4276</v>
      </c>
      <c r="V802" t="s">
        <v>5767</v>
      </c>
      <c r="W802" t="s">
        <v>5771</v>
      </c>
      <c r="X802" t="s">
        <v>190</v>
      </c>
      <c r="Y802">
        <v>1050</v>
      </c>
      <c r="Z802" t="s">
        <v>5803</v>
      </c>
      <c r="AA802" t="s">
        <v>5804</v>
      </c>
      <c r="AB802" t="s">
        <v>5822</v>
      </c>
      <c r="AC802" t="s">
        <v>6565</v>
      </c>
      <c r="AE802" t="s">
        <v>8549</v>
      </c>
      <c r="AF802">
        <v>3</v>
      </c>
      <c r="AG802" t="s">
        <v>9269</v>
      </c>
      <c r="AH802" t="s">
        <v>4280</v>
      </c>
      <c r="AI802">
        <v>1</v>
      </c>
      <c r="AJ802">
        <v>2</v>
      </c>
      <c r="AK802">
        <v>0</v>
      </c>
      <c r="AL802">
        <v>0</v>
      </c>
      <c r="AO802" t="s">
        <v>9305</v>
      </c>
      <c r="AP802">
        <v>0</v>
      </c>
      <c r="AR802" t="s">
        <v>9333</v>
      </c>
      <c r="AS802" t="s">
        <v>5806</v>
      </c>
      <c r="AT802" t="s">
        <v>9370</v>
      </c>
      <c r="AU802" t="s">
        <v>9422</v>
      </c>
      <c r="AV802">
        <v>24.68</v>
      </c>
      <c r="AW802" t="s">
        <v>73</v>
      </c>
    </row>
    <row r="803" spans="1:49">
      <c r="A803" s="1">
        <f>HYPERLINK("https://cms.ls-nyc.org/matter/dynamic-profile/view/1890884","19-1890884")</f>
        <v>0</v>
      </c>
      <c r="B803" t="s">
        <v>68</v>
      </c>
      <c r="C803" t="s">
        <v>82</v>
      </c>
      <c r="D803" t="s">
        <v>98</v>
      </c>
      <c r="E803" t="s">
        <v>294</v>
      </c>
      <c r="F803" t="s">
        <v>924</v>
      </c>
      <c r="G803" t="s">
        <v>1993</v>
      </c>
      <c r="H803" t="s">
        <v>3187</v>
      </c>
      <c r="I803">
        <v>205</v>
      </c>
      <c r="J803" t="s">
        <v>4230</v>
      </c>
      <c r="K803">
        <v>11101</v>
      </c>
      <c r="L803" t="s">
        <v>4275</v>
      </c>
      <c r="M803" t="s">
        <v>4275</v>
      </c>
      <c r="N803" t="s">
        <v>4278</v>
      </c>
      <c r="O803" t="s">
        <v>4283</v>
      </c>
      <c r="P803" t="s">
        <v>4989</v>
      </c>
      <c r="Q803" t="s">
        <v>5732</v>
      </c>
      <c r="R803" t="s">
        <v>5751</v>
      </c>
      <c r="S803" t="s">
        <v>5758</v>
      </c>
      <c r="T803" t="s">
        <v>4276</v>
      </c>
      <c r="V803" t="s">
        <v>5767</v>
      </c>
      <c r="W803" t="s">
        <v>5772</v>
      </c>
      <c r="X803" t="s">
        <v>98</v>
      </c>
      <c r="Y803">
        <v>0</v>
      </c>
      <c r="Z803" t="s">
        <v>5803</v>
      </c>
      <c r="AA803" t="s">
        <v>5804</v>
      </c>
      <c r="AB803" t="s">
        <v>5822</v>
      </c>
      <c r="AC803" t="s">
        <v>6566</v>
      </c>
      <c r="AD803" t="s">
        <v>7339</v>
      </c>
      <c r="AE803" t="s">
        <v>8550</v>
      </c>
      <c r="AF803">
        <v>92</v>
      </c>
      <c r="AG803" t="s">
        <v>9269</v>
      </c>
      <c r="AH803" t="s">
        <v>4280</v>
      </c>
      <c r="AI803">
        <v>5</v>
      </c>
      <c r="AJ803">
        <v>2</v>
      </c>
      <c r="AK803">
        <v>2</v>
      </c>
      <c r="AL803">
        <v>0</v>
      </c>
      <c r="AO803" t="s">
        <v>1425</v>
      </c>
      <c r="AP803">
        <v>0</v>
      </c>
      <c r="AR803" t="s">
        <v>9328</v>
      </c>
      <c r="AS803" t="s">
        <v>9336</v>
      </c>
      <c r="AT803" t="s">
        <v>9370</v>
      </c>
      <c r="AU803" t="s">
        <v>9498</v>
      </c>
      <c r="AV803">
        <v>20.7</v>
      </c>
      <c r="AW803" t="s">
        <v>73</v>
      </c>
    </row>
    <row r="804" spans="1:49">
      <c r="A804" s="1">
        <f>HYPERLINK("https://cms.ls-nyc.org/matter/dynamic-profile/view/1878786","18-1878786")</f>
        <v>0</v>
      </c>
      <c r="B804" t="s">
        <v>68</v>
      </c>
      <c r="C804" t="s">
        <v>82</v>
      </c>
      <c r="D804" t="s">
        <v>215</v>
      </c>
      <c r="E804" t="s">
        <v>216</v>
      </c>
      <c r="F804" t="s">
        <v>925</v>
      </c>
      <c r="G804" t="s">
        <v>820</v>
      </c>
      <c r="H804" t="s">
        <v>3188</v>
      </c>
      <c r="I804" t="s">
        <v>3884</v>
      </c>
      <c r="J804" t="s">
        <v>4222</v>
      </c>
      <c r="K804">
        <v>11428</v>
      </c>
      <c r="L804" t="s">
        <v>4275</v>
      </c>
      <c r="M804" t="s">
        <v>4275</v>
      </c>
      <c r="N804" t="s">
        <v>4278</v>
      </c>
      <c r="O804" t="s">
        <v>4283</v>
      </c>
      <c r="P804" t="s">
        <v>4990</v>
      </c>
      <c r="Q804" t="s">
        <v>5732</v>
      </c>
      <c r="R804" t="s">
        <v>5751</v>
      </c>
      <c r="S804" t="s">
        <v>5758</v>
      </c>
      <c r="T804" t="s">
        <v>4275</v>
      </c>
      <c r="V804" t="s">
        <v>5767</v>
      </c>
      <c r="W804" t="s">
        <v>5772</v>
      </c>
      <c r="X804" t="s">
        <v>215</v>
      </c>
      <c r="Y804">
        <v>1515</v>
      </c>
      <c r="Z804" t="s">
        <v>5803</v>
      </c>
      <c r="AA804" t="s">
        <v>5804</v>
      </c>
      <c r="AB804" t="s">
        <v>5820</v>
      </c>
      <c r="AC804" t="s">
        <v>6567</v>
      </c>
      <c r="AD804" t="s">
        <v>7580</v>
      </c>
      <c r="AE804" t="s">
        <v>8551</v>
      </c>
      <c r="AF804">
        <v>9</v>
      </c>
      <c r="AG804" t="s">
        <v>9272</v>
      </c>
      <c r="AH804" t="s">
        <v>4280</v>
      </c>
      <c r="AI804">
        <v>5</v>
      </c>
      <c r="AJ804">
        <v>2</v>
      </c>
      <c r="AK804">
        <v>2</v>
      </c>
      <c r="AL804">
        <v>17.3</v>
      </c>
      <c r="AO804" t="s">
        <v>1425</v>
      </c>
      <c r="AP804">
        <v>4342</v>
      </c>
      <c r="AS804" t="s">
        <v>9337</v>
      </c>
      <c r="AT804" t="s">
        <v>9369</v>
      </c>
      <c r="AU804" t="s">
        <v>9499</v>
      </c>
      <c r="AV804">
        <v>16.79</v>
      </c>
      <c r="AW804" t="s">
        <v>74</v>
      </c>
    </row>
    <row r="805" spans="1:49">
      <c r="A805" s="1">
        <f>HYPERLINK("https://cms.ls-nyc.org/matter/dynamic-profile/view/1896452","19-1896452")</f>
        <v>0</v>
      </c>
      <c r="B805" t="s">
        <v>68</v>
      </c>
      <c r="C805" t="s">
        <v>83</v>
      </c>
      <c r="D805" t="s">
        <v>248</v>
      </c>
      <c r="F805" t="s">
        <v>926</v>
      </c>
      <c r="G805" t="s">
        <v>1779</v>
      </c>
      <c r="H805" t="s">
        <v>3189</v>
      </c>
      <c r="I805" t="s">
        <v>3946</v>
      </c>
      <c r="J805" t="s">
        <v>4229</v>
      </c>
      <c r="K805">
        <v>11354</v>
      </c>
      <c r="L805" t="s">
        <v>4275</v>
      </c>
      <c r="M805" t="s">
        <v>4275</v>
      </c>
      <c r="O805" t="s">
        <v>4283</v>
      </c>
      <c r="P805" t="s">
        <v>4991</v>
      </c>
      <c r="Q805" t="s">
        <v>5731</v>
      </c>
      <c r="R805" t="s">
        <v>5751</v>
      </c>
      <c r="T805" t="s">
        <v>4276</v>
      </c>
      <c r="V805" t="s">
        <v>5767</v>
      </c>
      <c r="W805" t="s">
        <v>5771</v>
      </c>
      <c r="X805" t="s">
        <v>248</v>
      </c>
      <c r="Y805">
        <v>1700</v>
      </c>
      <c r="Z805" t="s">
        <v>5803</v>
      </c>
      <c r="AA805" t="s">
        <v>5810</v>
      </c>
      <c r="AC805" t="s">
        <v>6568</v>
      </c>
      <c r="AD805" t="s">
        <v>7581</v>
      </c>
      <c r="AE805" t="s">
        <v>8552</v>
      </c>
      <c r="AF805">
        <v>42</v>
      </c>
      <c r="AG805" t="s">
        <v>9269</v>
      </c>
      <c r="AH805" t="s">
        <v>4280</v>
      </c>
      <c r="AI805">
        <v>6</v>
      </c>
      <c r="AJ805">
        <v>1</v>
      </c>
      <c r="AK805">
        <v>0</v>
      </c>
      <c r="AL805">
        <v>19.05</v>
      </c>
      <c r="AO805" t="s">
        <v>9305</v>
      </c>
      <c r="AP805">
        <v>2379</v>
      </c>
      <c r="AV805">
        <v>13.05</v>
      </c>
      <c r="AW805" t="s">
        <v>68</v>
      </c>
    </row>
    <row r="806" spans="1:49">
      <c r="A806" s="1">
        <f>HYPERLINK("https://cms.ls-nyc.org/matter/dynamic-profile/view/1889653","19-1889653")</f>
        <v>0</v>
      </c>
      <c r="B806" t="s">
        <v>68</v>
      </c>
      <c r="C806" t="s">
        <v>82</v>
      </c>
      <c r="D806" t="s">
        <v>244</v>
      </c>
      <c r="E806" t="s">
        <v>116</v>
      </c>
      <c r="F806" t="s">
        <v>927</v>
      </c>
      <c r="G806" t="s">
        <v>1994</v>
      </c>
      <c r="H806" t="s">
        <v>3190</v>
      </c>
      <c r="I806" t="s">
        <v>4083</v>
      </c>
      <c r="J806" t="s">
        <v>4229</v>
      </c>
      <c r="K806">
        <v>11355</v>
      </c>
      <c r="L806" t="s">
        <v>4275</v>
      </c>
      <c r="M806" t="s">
        <v>4275</v>
      </c>
      <c r="O806" t="s">
        <v>4283</v>
      </c>
      <c r="P806" t="s">
        <v>4700</v>
      </c>
      <c r="Q806" t="s">
        <v>4698</v>
      </c>
      <c r="R806" t="s">
        <v>5754</v>
      </c>
      <c r="S806" t="s">
        <v>5763</v>
      </c>
      <c r="T806" t="s">
        <v>4276</v>
      </c>
      <c r="V806" t="s">
        <v>5767</v>
      </c>
      <c r="W806" t="s">
        <v>5772</v>
      </c>
      <c r="X806" t="s">
        <v>244</v>
      </c>
      <c r="Y806">
        <v>1675</v>
      </c>
      <c r="Z806" t="s">
        <v>5803</v>
      </c>
      <c r="AA806" t="s">
        <v>5811</v>
      </c>
      <c r="AB806" t="s">
        <v>5821</v>
      </c>
      <c r="AC806" t="s">
        <v>6569</v>
      </c>
      <c r="AD806" t="s">
        <v>7582</v>
      </c>
      <c r="AE806" t="s">
        <v>8553</v>
      </c>
      <c r="AF806">
        <v>150</v>
      </c>
      <c r="AG806" t="s">
        <v>9269</v>
      </c>
      <c r="AH806" t="s">
        <v>4280</v>
      </c>
      <c r="AI806">
        <v>12</v>
      </c>
      <c r="AJ806">
        <v>1</v>
      </c>
      <c r="AK806">
        <v>0</v>
      </c>
      <c r="AL806">
        <v>22.38</v>
      </c>
      <c r="AO806" t="s">
        <v>9304</v>
      </c>
      <c r="AP806">
        <v>2795</v>
      </c>
      <c r="AV806">
        <v>2.68</v>
      </c>
      <c r="AW806" t="s">
        <v>68</v>
      </c>
    </row>
    <row r="807" spans="1:49">
      <c r="A807" s="1">
        <f>HYPERLINK("https://cms.ls-nyc.org/matter/dynamic-profile/view/1875020","18-1875020")</f>
        <v>0</v>
      </c>
      <c r="B807" t="s">
        <v>68</v>
      </c>
      <c r="C807" t="s">
        <v>82</v>
      </c>
      <c r="D807" t="s">
        <v>118</v>
      </c>
      <c r="E807" t="s">
        <v>184</v>
      </c>
      <c r="F807" t="s">
        <v>928</v>
      </c>
      <c r="G807" t="s">
        <v>1995</v>
      </c>
      <c r="H807" t="s">
        <v>3191</v>
      </c>
      <c r="I807">
        <v>2</v>
      </c>
      <c r="J807" t="s">
        <v>4243</v>
      </c>
      <c r="K807">
        <v>11691</v>
      </c>
      <c r="L807" t="s">
        <v>4275</v>
      </c>
      <c r="M807" t="s">
        <v>4275</v>
      </c>
      <c r="O807" t="s">
        <v>4283</v>
      </c>
      <c r="P807" t="s">
        <v>4992</v>
      </c>
      <c r="Q807" t="s">
        <v>5731</v>
      </c>
      <c r="R807" t="s">
        <v>5751</v>
      </c>
      <c r="S807" t="s">
        <v>5758</v>
      </c>
      <c r="T807" t="s">
        <v>4276</v>
      </c>
      <c r="V807" t="s">
        <v>5767</v>
      </c>
      <c r="W807" t="s">
        <v>5774</v>
      </c>
      <c r="X807" t="s">
        <v>118</v>
      </c>
      <c r="Y807">
        <v>1428</v>
      </c>
      <c r="Z807" t="s">
        <v>5803</v>
      </c>
      <c r="AA807" t="s">
        <v>5804</v>
      </c>
      <c r="AB807" t="s">
        <v>5820</v>
      </c>
      <c r="AC807" t="s">
        <v>6570</v>
      </c>
      <c r="AD807" t="s">
        <v>7583</v>
      </c>
      <c r="AE807" t="s">
        <v>8554</v>
      </c>
      <c r="AF807">
        <v>2</v>
      </c>
      <c r="AG807" t="s">
        <v>9268</v>
      </c>
      <c r="AH807" t="s">
        <v>9282</v>
      </c>
      <c r="AI807">
        <v>6</v>
      </c>
      <c r="AJ807">
        <v>1</v>
      </c>
      <c r="AK807">
        <v>2</v>
      </c>
      <c r="AL807">
        <v>24.27</v>
      </c>
      <c r="AO807" t="s">
        <v>1425</v>
      </c>
      <c r="AP807">
        <v>5044</v>
      </c>
      <c r="AR807" t="s">
        <v>9329</v>
      </c>
      <c r="AS807" t="s">
        <v>9361</v>
      </c>
      <c r="AT807" t="s">
        <v>9369</v>
      </c>
      <c r="AU807" t="s">
        <v>9500</v>
      </c>
      <c r="AV807">
        <v>6.85</v>
      </c>
      <c r="AW807" t="s">
        <v>54</v>
      </c>
    </row>
    <row r="808" spans="1:49">
      <c r="A808" s="1">
        <f>HYPERLINK("https://cms.ls-nyc.org/matter/dynamic-profile/view/1882917","18-1882917")</f>
        <v>0</v>
      </c>
      <c r="B808" t="s">
        <v>68</v>
      </c>
      <c r="C808" t="s">
        <v>82</v>
      </c>
      <c r="D808" t="s">
        <v>223</v>
      </c>
      <c r="E808" t="s">
        <v>163</v>
      </c>
      <c r="F808" t="s">
        <v>493</v>
      </c>
      <c r="G808" t="s">
        <v>1996</v>
      </c>
      <c r="H808" t="s">
        <v>3192</v>
      </c>
      <c r="I808" t="s">
        <v>3923</v>
      </c>
      <c r="J808" t="s">
        <v>4252</v>
      </c>
      <c r="K808">
        <v>11374</v>
      </c>
      <c r="L808" t="s">
        <v>4275</v>
      </c>
      <c r="M808" t="s">
        <v>4275</v>
      </c>
      <c r="O808" t="s">
        <v>4284</v>
      </c>
      <c r="P808" t="s">
        <v>4416</v>
      </c>
      <c r="Q808" t="s">
        <v>5732</v>
      </c>
      <c r="R808" t="s">
        <v>5753</v>
      </c>
      <c r="S808" t="s">
        <v>5759</v>
      </c>
      <c r="T808" t="s">
        <v>4276</v>
      </c>
      <c r="V808" t="s">
        <v>5767</v>
      </c>
      <c r="W808" t="s">
        <v>5772</v>
      </c>
      <c r="X808" t="s">
        <v>223</v>
      </c>
      <c r="Y808">
        <v>2350</v>
      </c>
      <c r="Z808" t="s">
        <v>5803</v>
      </c>
      <c r="AA808" t="s">
        <v>5815</v>
      </c>
      <c r="AB808" t="s">
        <v>5821</v>
      </c>
      <c r="AC808" t="s">
        <v>6571</v>
      </c>
      <c r="AD808" t="s">
        <v>7289</v>
      </c>
      <c r="AE808" t="s">
        <v>8555</v>
      </c>
      <c r="AF808">
        <v>65</v>
      </c>
      <c r="AG808" t="s">
        <v>9272</v>
      </c>
      <c r="AH808" t="s">
        <v>4280</v>
      </c>
      <c r="AI808">
        <v>1</v>
      </c>
      <c r="AJ808">
        <v>1</v>
      </c>
      <c r="AK808">
        <v>3</v>
      </c>
      <c r="AL808">
        <v>25.9</v>
      </c>
      <c r="AM808" t="s">
        <v>9291</v>
      </c>
      <c r="AN808" t="s">
        <v>9295</v>
      </c>
      <c r="AO808" t="s">
        <v>1425</v>
      </c>
      <c r="AP808">
        <v>6500</v>
      </c>
      <c r="AV808">
        <v>1.73</v>
      </c>
      <c r="AW808" t="s">
        <v>68</v>
      </c>
    </row>
    <row r="809" spans="1:49">
      <c r="A809" s="1">
        <f>HYPERLINK("https://cms.ls-nyc.org/matter/dynamic-profile/view/1885425","18-1885425")</f>
        <v>0</v>
      </c>
      <c r="B809" t="s">
        <v>68</v>
      </c>
      <c r="C809" t="s">
        <v>82</v>
      </c>
      <c r="D809" t="s">
        <v>255</v>
      </c>
      <c r="E809" t="s">
        <v>239</v>
      </c>
      <c r="F809" t="s">
        <v>737</v>
      </c>
      <c r="G809" t="s">
        <v>1997</v>
      </c>
      <c r="H809" t="s">
        <v>3193</v>
      </c>
      <c r="I809">
        <v>402</v>
      </c>
      <c r="J809" t="s">
        <v>4254</v>
      </c>
      <c r="K809">
        <v>11692</v>
      </c>
      <c r="L809" t="s">
        <v>4275</v>
      </c>
      <c r="M809" t="s">
        <v>4275</v>
      </c>
      <c r="O809" t="s">
        <v>4284</v>
      </c>
      <c r="P809" t="s">
        <v>4993</v>
      </c>
      <c r="Q809" t="s">
        <v>5731</v>
      </c>
      <c r="R809" t="s">
        <v>5751</v>
      </c>
      <c r="S809" t="s">
        <v>5758</v>
      </c>
      <c r="T809" t="s">
        <v>4276</v>
      </c>
      <c r="V809" t="s">
        <v>5767</v>
      </c>
      <c r="W809" t="s">
        <v>5771</v>
      </c>
      <c r="X809" t="s">
        <v>255</v>
      </c>
      <c r="Y809">
        <v>2181</v>
      </c>
      <c r="Z809" t="s">
        <v>5803</v>
      </c>
      <c r="AA809" t="s">
        <v>5815</v>
      </c>
      <c r="AB809" t="s">
        <v>5820</v>
      </c>
      <c r="AC809" t="s">
        <v>6572</v>
      </c>
      <c r="AE809" t="s">
        <v>8556</v>
      </c>
      <c r="AF809">
        <v>1091</v>
      </c>
      <c r="AG809" t="s">
        <v>9273</v>
      </c>
      <c r="AH809" t="s">
        <v>9282</v>
      </c>
      <c r="AI809">
        <v>5</v>
      </c>
      <c r="AJ809">
        <v>2</v>
      </c>
      <c r="AK809">
        <v>1</v>
      </c>
      <c r="AL809">
        <v>27.03</v>
      </c>
      <c r="AM809" t="s">
        <v>9291</v>
      </c>
      <c r="AN809" t="s">
        <v>9295</v>
      </c>
      <c r="AO809" t="s">
        <v>1425</v>
      </c>
      <c r="AP809">
        <v>5616</v>
      </c>
      <c r="AR809" t="s">
        <v>9328</v>
      </c>
      <c r="AS809" t="s">
        <v>9337</v>
      </c>
      <c r="AT809" t="s">
        <v>9369</v>
      </c>
      <c r="AU809" t="s">
        <v>9478</v>
      </c>
      <c r="AV809">
        <v>10.95</v>
      </c>
      <c r="AW809" t="s">
        <v>68</v>
      </c>
    </row>
    <row r="810" spans="1:49">
      <c r="A810" s="1">
        <f>HYPERLINK("https://cms.ls-nyc.org/matter/dynamic-profile/view/1894184","19-1894184")</f>
        <v>0</v>
      </c>
      <c r="B810" t="s">
        <v>68</v>
      </c>
      <c r="C810" t="s">
        <v>82</v>
      </c>
      <c r="D810" t="s">
        <v>211</v>
      </c>
      <c r="E810" t="s">
        <v>101</v>
      </c>
      <c r="F810" t="s">
        <v>929</v>
      </c>
      <c r="G810" t="s">
        <v>1998</v>
      </c>
      <c r="H810" t="s">
        <v>3194</v>
      </c>
      <c r="I810" t="s">
        <v>4068</v>
      </c>
      <c r="J810" t="s">
        <v>4239</v>
      </c>
      <c r="K810">
        <v>11420</v>
      </c>
      <c r="L810" t="s">
        <v>4275</v>
      </c>
      <c r="M810" t="s">
        <v>4275</v>
      </c>
      <c r="O810" t="s">
        <v>4284</v>
      </c>
      <c r="P810" t="s">
        <v>4416</v>
      </c>
      <c r="Q810" t="s">
        <v>4698</v>
      </c>
      <c r="R810" t="s">
        <v>5753</v>
      </c>
      <c r="S810" t="s">
        <v>5759</v>
      </c>
      <c r="T810" t="s">
        <v>4276</v>
      </c>
      <c r="V810" t="s">
        <v>5767</v>
      </c>
      <c r="W810" t="s">
        <v>5772</v>
      </c>
      <c r="X810" t="s">
        <v>211</v>
      </c>
      <c r="Y810">
        <v>0</v>
      </c>
      <c r="Z810" t="s">
        <v>5803</v>
      </c>
      <c r="AA810" t="s">
        <v>5815</v>
      </c>
      <c r="AB810" t="s">
        <v>5821</v>
      </c>
      <c r="AC810" t="s">
        <v>6573</v>
      </c>
      <c r="AD810" t="s">
        <v>7339</v>
      </c>
      <c r="AE810" t="s">
        <v>8557</v>
      </c>
      <c r="AF810">
        <v>2</v>
      </c>
      <c r="AG810" t="s">
        <v>9269</v>
      </c>
      <c r="AH810" t="s">
        <v>4280</v>
      </c>
      <c r="AI810">
        <v>1</v>
      </c>
      <c r="AJ810">
        <v>2</v>
      </c>
      <c r="AK810">
        <v>0</v>
      </c>
      <c r="AL810">
        <v>35.48</v>
      </c>
      <c r="AM810" t="s">
        <v>9291</v>
      </c>
      <c r="AN810" t="s">
        <v>9295</v>
      </c>
      <c r="AO810" t="s">
        <v>9298</v>
      </c>
      <c r="AP810">
        <v>6000</v>
      </c>
      <c r="AV810">
        <v>1.6</v>
      </c>
      <c r="AW810" t="s">
        <v>68</v>
      </c>
    </row>
    <row r="811" spans="1:49">
      <c r="A811" s="1">
        <f>HYPERLINK("https://cms.ls-nyc.org/matter/dynamic-profile/view/1891984","19-1891984")</f>
        <v>0</v>
      </c>
      <c r="B811" t="s">
        <v>68</v>
      </c>
      <c r="C811" t="s">
        <v>83</v>
      </c>
      <c r="D811" t="s">
        <v>165</v>
      </c>
      <c r="F811" t="s">
        <v>930</v>
      </c>
      <c r="G811" t="s">
        <v>1779</v>
      </c>
      <c r="H811" t="s">
        <v>3195</v>
      </c>
      <c r="I811" t="s">
        <v>3876</v>
      </c>
      <c r="J811" t="s">
        <v>4222</v>
      </c>
      <c r="K811">
        <v>11433</v>
      </c>
      <c r="L811" t="s">
        <v>4275</v>
      </c>
      <c r="M811" t="s">
        <v>4277</v>
      </c>
      <c r="N811" t="s">
        <v>4279</v>
      </c>
      <c r="O811" t="s">
        <v>4281</v>
      </c>
      <c r="P811" t="s">
        <v>4994</v>
      </c>
      <c r="Q811" t="s">
        <v>5731</v>
      </c>
      <c r="R811" t="s">
        <v>5753</v>
      </c>
      <c r="T811" t="s">
        <v>4276</v>
      </c>
      <c r="V811" t="s">
        <v>5767</v>
      </c>
      <c r="W811" t="s">
        <v>5771</v>
      </c>
      <c r="X811" t="s">
        <v>165</v>
      </c>
      <c r="Y811">
        <v>285</v>
      </c>
      <c r="Z811" t="s">
        <v>5803</v>
      </c>
      <c r="AA811" t="s">
        <v>5804</v>
      </c>
      <c r="AC811" t="s">
        <v>6574</v>
      </c>
      <c r="AD811" t="s">
        <v>7584</v>
      </c>
      <c r="AE811" t="s">
        <v>8558</v>
      </c>
      <c r="AF811">
        <v>100</v>
      </c>
      <c r="AG811" t="s">
        <v>9269</v>
      </c>
      <c r="AH811" t="s">
        <v>4280</v>
      </c>
      <c r="AI811">
        <v>3</v>
      </c>
      <c r="AJ811">
        <v>1</v>
      </c>
      <c r="AK811">
        <v>0</v>
      </c>
      <c r="AL811">
        <v>35.55</v>
      </c>
      <c r="AO811" t="s">
        <v>9305</v>
      </c>
      <c r="AP811">
        <v>4440</v>
      </c>
      <c r="AV811">
        <v>3.37</v>
      </c>
      <c r="AW811" t="s">
        <v>74</v>
      </c>
    </row>
    <row r="812" spans="1:49">
      <c r="A812" s="1">
        <f>HYPERLINK("https://cms.ls-nyc.org/matter/dynamic-profile/view/1893537","19-1893537")</f>
        <v>0</v>
      </c>
      <c r="B812" t="s">
        <v>68</v>
      </c>
      <c r="C812" t="s">
        <v>82</v>
      </c>
      <c r="D812" t="s">
        <v>209</v>
      </c>
      <c r="E812" t="s">
        <v>209</v>
      </c>
      <c r="F812" t="s">
        <v>931</v>
      </c>
      <c r="G812" t="s">
        <v>1999</v>
      </c>
      <c r="H812" t="s">
        <v>3196</v>
      </c>
      <c r="I812" t="s">
        <v>3894</v>
      </c>
      <c r="J812" t="s">
        <v>4251</v>
      </c>
      <c r="K812">
        <v>11377</v>
      </c>
      <c r="L812" t="s">
        <v>4275</v>
      </c>
      <c r="M812" t="s">
        <v>4275</v>
      </c>
      <c r="O812" t="s">
        <v>4284</v>
      </c>
      <c r="P812" t="s">
        <v>4416</v>
      </c>
      <c r="Q812" t="s">
        <v>4698</v>
      </c>
      <c r="R812" t="s">
        <v>5753</v>
      </c>
      <c r="S812" t="s">
        <v>5759</v>
      </c>
      <c r="T812" t="s">
        <v>4276</v>
      </c>
      <c r="V812" t="s">
        <v>5767</v>
      </c>
      <c r="W812" t="s">
        <v>5772</v>
      </c>
      <c r="X812" t="s">
        <v>209</v>
      </c>
      <c r="Y812">
        <v>807.63</v>
      </c>
      <c r="Z812" t="s">
        <v>5803</v>
      </c>
      <c r="AA812" t="s">
        <v>5815</v>
      </c>
      <c r="AB812" t="s">
        <v>5821</v>
      </c>
      <c r="AC812" t="s">
        <v>6575</v>
      </c>
      <c r="AD812" t="s">
        <v>7339</v>
      </c>
      <c r="AE812" t="s">
        <v>8559</v>
      </c>
      <c r="AF812">
        <v>181</v>
      </c>
      <c r="AG812" t="s">
        <v>9272</v>
      </c>
      <c r="AH812" t="s">
        <v>4280</v>
      </c>
      <c r="AI812">
        <v>20</v>
      </c>
      <c r="AJ812">
        <v>1</v>
      </c>
      <c r="AK812">
        <v>2</v>
      </c>
      <c r="AL812">
        <v>37</v>
      </c>
      <c r="AM812" t="s">
        <v>9291</v>
      </c>
      <c r="AN812" t="s">
        <v>9295</v>
      </c>
      <c r="AO812" t="s">
        <v>9298</v>
      </c>
      <c r="AP812">
        <v>7892.04</v>
      </c>
      <c r="AV812">
        <v>1.55</v>
      </c>
      <c r="AW812" t="s">
        <v>68</v>
      </c>
    </row>
    <row r="813" spans="1:49">
      <c r="A813" s="1">
        <f>HYPERLINK("https://cms.ls-nyc.org/matter/dynamic-profile/view/1868578","18-1868578")</f>
        <v>0</v>
      </c>
      <c r="B813" t="s">
        <v>68</v>
      </c>
      <c r="C813" t="s">
        <v>82</v>
      </c>
      <c r="D813" t="s">
        <v>253</v>
      </c>
      <c r="E813" t="s">
        <v>185</v>
      </c>
      <c r="F813" t="s">
        <v>932</v>
      </c>
      <c r="G813" t="s">
        <v>2000</v>
      </c>
      <c r="H813" t="s">
        <v>3197</v>
      </c>
      <c r="I813">
        <v>5</v>
      </c>
      <c r="J813" t="s">
        <v>4234</v>
      </c>
      <c r="K813">
        <v>11102</v>
      </c>
      <c r="L813" t="s">
        <v>4275</v>
      </c>
      <c r="M813" t="s">
        <v>4275</v>
      </c>
      <c r="O813" t="s">
        <v>4283</v>
      </c>
      <c r="P813" t="s">
        <v>4995</v>
      </c>
      <c r="Q813" t="s">
        <v>5731</v>
      </c>
      <c r="R813" t="s">
        <v>5751</v>
      </c>
      <c r="S813" t="s">
        <v>5758</v>
      </c>
      <c r="T813" t="s">
        <v>4276</v>
      </c>
      <c r="V813" t="s">
        <v>5767</v>
      </c>
      <c r="W813" t="s">
        <v>5772</v>
      </c>
      <c r="X813" t="s">
        <v>253</v>
      </c>
      <c r="Y813">
        <v>1518.75</v>
      </c>
      <c r="Z813" t="s">
        <v>5803</v>
      </c>
      <c r="AA813" t="s">
        <v>5807</v>
      </c>
      <c r="AB813" t="s">
        <v>5820</v>
      </c>
      <c r="AC813" t="s">
        <v>6576</v>
      </c>
      <c r="AD813" t="s">
        <v>7585</v>
      </c>
      <c r="AE813" t="s">
        <v>8560</v>
      </c>
      <c r="AF813">
        <v>8</v>
      </c>
      <c r="AG813" t="s">
        <v>9272</v>
      </c>
      <c r="AH813" t="s">
        <v>4280</v>
      </c>
      <c r="AI813">
        <v>3</v>
      </c>
      <c r="AJ813">
        <v>1</v>
      </c>
      <c r="AK813">
        <v>2</v>
      </c>
      <c r="AL813">
        <v>45.56</v>
      </c>
      <c r="AO813" t="s">
        <v>9301</v>
      </c>
      <c r="AP813">
        <v>9468</v>
      </c>
      <c r="AS813" t="s">
        <v>9337</v>
      </c>
      <c r="AT813" t="s">
        <v>9369</v>
      </c>
      <c r="AU813" t="s">
        <v>9501</v>
      </c>
      <c r="AV813">
        <v>7.05</v>
      </c>
      <c r="AW813" t="s">
        <v>9559</v>
      </c>
    </row>
    <row r="814" spans="1:49">
      <c r="A814" s="1">
        <f>HYPERLINK("https://cms.ls-nyc.org/matter/dynamic-profile/view/1875102","18-1875102")</f>
        <v>0</v>
      </c>
      <c r="B814" t="s">
        <v>68</v>
      </c>
      <c r="C814" t="s">
        <v>82</v>
      </c>
      <c r="D814" t="s">
        <v>177</v>
      </c>
      <c r="E814" t="s">
        <v>269</v>
      </c>
      <c r="F814" t="s">
        <v>932</v>
      </c>
      <c r="G814" t="s">
        <v>2000</v>
      </c>
      <c r="H814" t="s">
        <v>3197</v>
      </c>
      <c r="I814">
        <v>5</v>
      </c>
      <c r="J814" t="s">
        <v>4234</v>
      </c>
      <c r="K814">
        <v>11102</v>
      </c>
      <c r="L814" t="s">
        <v>4275</v>
      </c>
      <c r="M814" t="s">
        <v>4275</v>
      </c>
      <c r="O814" t="s">
        <v>4284</v>
      </c>
      <c r="P814" t="s">
        <v>4996</v>
      </c>
      <c r="Q814" t="s">
        <v>5731</v>
      </c>
      <c r="R814" t="s">
        <v>5751</v>
      </c>
      <c r="S814" t="s">
        <v>5758</v>
      </c>
      <c r="T814" t="s">
        <v>4276</v>
      </c>
      <c r="V814" t="s">
        <v>5767</v>
      </c>
      <c r="W814" t="s">
        <v>5772</v>
      </c>
      <c r="X814" t="s">
        <v>177</v>
      </c>
      <c r="Y814">
        <v>1518.75</v>
      </c>
      <c r="Z814" t="s">
        <v>5803</v>
      </c>
      <c r="AA814" t="s">
        <v>5815</v>
      </c>
      <c r="AB814" t="s">
        <v>5820</v>
      </c>
      <c r="AC814" t="s">
        <v>6576</v>
      </c>
      <c r="AD814" t="s">
        <v>7585</v>
      </c>
      <c r="AE814" t="s">
        <v>8560</v>
      </c>
      <c r="AF814">
        <v>8</v>
      </c>
      <c r="AG814" t="s">
        <v>9272</v>
      </c>
      <c r="AH814" t="s">
        <v>4280</v>
      </c>
      <c r="AI814">
        <v>3</v>
      </c>
      <c r="AJ814">
        <v>1</v>
      </c>
      <c r="AK814">
        <v>2</v>
      </c>
      <c r="AL814">
        <v>45.56</v>
      </c>
      <c r="AM814" t="s">
        <v>9291</v>
      </c>
      <c r="AN814" t="s">
        <v>9295</v>
      </c>
      <c r="AO814" t="s">
        <v>9301</v>
      </c>
      <c r="AP814">
        <v>9468</v>
      </c>
      <c r="AR814" t="s">
        <v>9328</v>
      </c>
      <c r="AS814" t="s">
        <v>9337</v>
      </c>
      <c r="AT814" t="s">
        <v>9369</v>
      </c>
      <c r="AU814" t="s">
        <v>9502</v>
      </c>
      <c r="AV814">
        <v>20.18</v>
      </c>
      <c r="AW814" t="s">
        <v>67</v>
      </c>
    </row>
    <row r="815" spans="1:49">
      <c r="A815" s="1">
        <f>HYPERLINK("https://cms.ls-nyc.org/matter/dynamic-profile/view/1900968","19-1900968")</f>
        <v>0</v>
      </c>
      <c r="B815" t="s">
        <v>68</v>
      </c>
      <c r="C815" t="s">
        <v>83</v>
      </c>
      <c r="D815" t="s">
        <v>217</v>
      </c>
      <c r="F815" t="s">
        <v>500</v>
      </c>
      <c r="G815" t="s">
        <v>2001</v>
      </c>
      <c r="H815" t="s">
        <v>3198</v>
      </c>
      <c r="I815" t="s">
        <v>3902</v>
      </c>
      <c r="J815" t="s">
        <v>4225</v>
      </c>
      <c r="K815">
        <v>11385</v>
      </c>
      <c r="L815" t="s">
        <v>4275</v>
      </c>
      <c r="M815" t="s">
        <v>4277</v>
      </c>
      <c r="N815" t="s">
        <v>4278</v>
      </c>
      <c r="O815" t="s">
        <v>4281</v>
      </c>
      <c r="P815" t="s">
        <v>4997</v>
      </c>
      <c r="Q815" t="s">
        <v>5732</v>
      </c>
      <c r="R815" t="s">
        <v>5752</v>
      </c>
      <c r="T815" t="s">
        <v>4276</v>
      </c>
      <c r="V815" t="s">
        <v>5767</v>
      </c>
      <c r="X815" t="s">
        <v>217</v>
      </c>
      <c r="Y815">
        <v>550</v>
      </c>
      <c r="Z815" t="s">
        <v>5803</v>
      </c>
      <c r="AA815" t="s">
        <v>5804</v>
      </c>
      <c r="AC815" t="s">
        <v>6577</v>
      </c>
      <c r="AD815" t="s">
        <v>7586</v>
      </c>
      <c r="AE815" t="s">
        <v>8561</v>
      </c>
      <c r="AF815">
        <v>0</v>
      </c>
      <c r="AG815" t="s">
        <v>9270</v>
      </c>
      <c r="AH815" t="s">
        <v>4280</v>
      </c>
      <c r="AI815">
        <v>35</v>
      </c>
      <c r="AJ815">
        <v>1</v>
      </c>
      <c r="AK815">
        <v>0</v>
      </c>
      <c r="AL815">
        <v>52.84</v>
      </c>
      <c r="AO815" t="s">
        <v>1425</v>
      </c>
      <c r="AP815">
        <v>6600</v>
      </c>
      <c r="AV815">
        <v>2.15</v>
      </c>
      <c r="AW815" t="s">
        <v>54</v>
      </c>
    </row>
    <row r="816" spans="1:49">
      <c r="A816" s="1">
        <f>HYPERLINK("https://cms.ls-nyc.org/matter/dynamic-profile/view/1891259","19-1891259")</f>
        <v>0</v>
      </c>
      <c r="B816" t="s">
        <v>68</v>
      </c>
      <c r="C816" t="s">
        <v>83</v>
      </c>
      <c r="D816" t="s">
        <v>241</v>
      </c>
      <c r="F816" t="s">
        <v>933</v>
      </c>
      <c r="G816" t="s">
        <v>1820</v>
      </c>
      <c r="H816" t="s">
        <v>3199</v>
      </c>
      <c r="I816">
        <v>2</v>
      </c>
      <c r="J816" t="s">
        <v>4229</v>
      </c>
      <c r="K816">
        <v>11355</v>
      </c>
      <c r="L816" t="s">
        <v>4275</v>
      </c>
      <c r="M816" t="s">
        <v>4275</v>
      </c>
      <c r="O816" t="s">
        <v>4284</v>
      </c>
      <c r="P816" t="s">
        <v>4998</v>
      </c>
      <c r="Q816" t="s">
        <v>5732</v>
      </c>
      <c r="R816" t="s">
        <v>5751</v>
      </c>
      <c r="T816" t="s">
        <v>4276</v>
      </c>
      <c r="V816" t="s">
        <v>5767</v>
      </c>
      <c r="W816" t="s">
        <v>5772</v>
      </c>
      <c r="X816" t="s">
        <v>167</v>
      </c>
      <c r="Y816">
        <v>2150</v>
      </c>
      <c r="Z816" t="s">
        <v>5803</v>
      </c>
      <c r="AA816" t="s">
        <v>5815</v>
      </c>
      <c r="AC816" t="s">
        <v>6578</v>
      </c>
      <c r="AD816" t="s">
        <v>7289</v>
      </c>
      <c r="AE816" t="s">
        <v>7289</v>
      </c>
      <c r="AF816">
        <v>3</v>
      </c>
      <c r="AG816" t="s">
        <v>9269</v>
      </c>
      <c r="AH816" t="s">
        <v>4280</v>
      </c>
      <c r="AI816">
        <v>1</v>
      </c>
      <c r="AJ816">
        <v>1</v>
      </c>
      <c r="AK816">
        <v>3</v>
      </c>
      <c r="AL816">
        <v>60.58</v>
      </c>
      <c r="AM816" t="s">
        <v>9291</v>
      </c>
      <c r="AN816" t="s">
        <v>9295</v>
      </c>
      <c r="AO816" t="s">
        <v>9298</v>
      </c>
      <c r="AP816">
        <v>15600</v>
      </c>
      <c r="AV816">
        <v>20.8</v>
      </c>
      <c r="AW816" t="s">
        <v>68</v>
      </c>
    </row>
    <row r="817" spans="1:49">
      <c r="A817" s="1">
        <f>HYPERLINK("https://cms.ls-nyc.org/matter/dynamic-profile/view/1888677","19-1888677")</f>
        <v>0</v>
      </c>
      <c r="B817" t="s">
        <v>68</v>
      </c>
      <c r="C817" t="s">
        <v>82</v>
      </c>
      <c r="D817" t="s">
        <v>125</v>
      </c>
      <c r="E817" t="s">
        <v>217</v>
      </c>
      <c r="F817" t="s">
        <v>934</v>
      </c>
      <c r="G817" t="s">
        <v>1702</v>
      </c>
      <c r="H817" t="s">
        <v>3200</v>
      </c>
      <c r="I817" t="s">
        <v>3878</v>
      </c>
      <c r="J817" t="s">
        <v>4222</v>
      </c>
      <c r="K817">
        <v>11434</v>
      </c>
      <c r="L817" t="s">
        <v>4275</v>
      </c>
      <c r="M817" t="s">
        <v>4275</v>
      </c>
      <c r="N817" t="s">
        <v>4279</v>
      </c>
      <c r="O817" t="s">
        <v>4281</v>
      </c>
      <c r="P817" t="s">
        <v>4999</v>
      </c>
      <c r="Q817" t="s">
        <v>5732</v>
      </c>
      <c r="R817" t="s">
        <v>5751</v>
      </c>
      <c r="S817" t="s">
        <v>5758</v>
      </c>
      <c r="T817" t="s">
        <v>4276</v>
      </c>
      <c r="V817" t="s">
        <v>5767</v>
      </c>
      <c r="W817" t="s">
        <v>5772</v>
      </c>
      <c r="X817" t="s">
        <v>125</v>
      </c>
      <c r="Y817">
        <v>1200</v>
      </c>
      <c r="Z817" t="s">
        <v>5803</v>
      </c>
      <c r="AA817" t="s">
        <v>5804</v>
      </c>
      <c r="AB817" t="s">
        <v>5822</v>
      </c>
      <c r="AC817" t="s">
        <v>6579</v>
      </c>
      <c r="AD817" t="s">
        <v>7587</v>
      </c>
      <c r="AE817" t="s">
        <v>8562</v>
      </c>
      <c r="AF817">
        <v>2</v>
      </c>
      <c r="AG817" t="s">
        <v>9269</v>
      </c>
      <c r="AH817" t="s">
        <v>4280</v>
      </c>
      <c r="AI817">
        <v>10</v>
      </c>
      <c r="AJ817">
        <v>1</v>
      </c>
      <c r="AK817">
        <v>0</v>
      </c>
      <c r="AL817">
        <v>69.66</v>
      </c>
      <c r="AO817" t="s">
        <v>1425</v>
      </c>
      <c r="AP817">
        <v>8700</v>
      </c>
      <c r="AR817" t="s">
        <v>9328</v>
      </c>
      <c r="AS817" t="s">
        <v>9348</v>
      </c>
      <c r="AT817" t="s">
        <v>9370</v>
      </c>
      <c r="AU817" t="s">
        <v>9503</v>
      </c>
      <c r="AV817">
        <v>23.53</v>
      </c>
      <c r="AW817" t="s">
        <v>74</v>
      </c>
    </row>
    <row r="818" spans="1:49">
      <c r="A818" s="1">
        <f>HYPERLINK("https://cms.ls-nyc.org/matter/dynamic-profile/view/1880665","18-1880665")</f>
        <v>0</v>
      </c>
      <c r="B818" t="s">
        <v>68</v>
      </c>
      <c r="C818" t="s">
        <v>82</v>
      </c>
      <c r="D818" t="s">
        <v>256</v>
      </c>
      <c r="E818" t="s">
        <v>256</v>
      </c>
      <c r="F818" t="s">
        <v>935</v>
      </c>
      <c r="G818" t="s">
        <v>2002</v>
      </c>
      <c r="H818" t="s">
        <v>3201</v>
      </c>
      <c r="I818" t="s">
        <v>3864</v>
      </c>
      <c r="J818" t="s">
        <v>4222</v>
      </c>
      <c r="K818">
        <v>11435</v>
      </c>
      <c r="L818" t="s">
        <v>4275</v>
      </c>
      <c r="M818" t="s">
        <v>4275</v>
      </c>
      <c r="O818" t="s">
        <v>4283</v>
      </c>
      <c r="P818" t="s">
        <v>5000</v>
      </c>
      <c r="Q818" t="s">
        <v>5731</v>
      </c>
      <c r="R818" t="s">
        <v>5753</v>
      </c>
      <c r="S818" t="s">
        <v>5759</v>
      </c>
      <c r="T818" t="s">
        <v>4276</v>
      </c>
      <c r="V818" t="s">
        <v>5767</v>
      </c>
      <c r="W818" t="s">
        <v>5772</v>
      </c>
      <c r="X818" t="s">
        <v>227</v>
      </c>
      <c r="Y818">
        <v>1600</v>
      </c>
      <c r="Z818" t="s">
        <v>5803</v>
      </c>
      <c r="AA818" t="s">
        <v>5804</v>
      </c>
      <c r="AB818" t="s">
        <v>5821</v>
      </c>
      <c r="AC818" t="s">
        <v>6580</v>
      </c>
      <c r="AD818" t="s">
        <v>7588</v>
      </c>
      <c r="AE818" t="s">
        <v>8563</v>
      </c>
      <c r="AF818">
        <v>3</v>
      </c>
      <c r="AG818" t="s">
        <v>9269</v>
      </c>
      <c r="AH818" t="s">
        <v>4280</v>
      </c>
      <c r="AI818">
        <v>2</v>
      </c>
      <c r="AJ818">
        <v>2</v>
      </c>
      <c r="AK818">
        <v>1</v>
      </c>
      <c r="AL818">
        <v>70.26000000000001</v>
      </c>
      <c r="AO818" t="s">
        <v>1425</v>
      </c>
      <c r="AP818">
        <v>14600</v>
      </c>
      <c r="AV818">
        <v>0.72</v>
      </c>
      <c r="AW818" t="s">
        <v>73</v>
      </c>
    </row>
    <row r="819" spans="1:49">
      <c r="A819" s="1">
        <f>HYPERLINK("https://cms.ls-nyc.org/matter/dynamic-profile/view/1874628","18-1874628")</f>
        <v>0</v>
      </c>
      <c r="B819" t="s">
        <v>68</v>
      </c>
      <c r="C819" t="s">
        <v>82</v>
      </c>
      <c r="D819" t="s">
        <v>103</v>
      </c>
      <c r="E819" t="s">
        <v>126</v>
      </c>
      <c r="F819" t="s">
        <v>514</v>
      </c>
      <c r="G819" t="s">
        <v>1836</v>
      </c>
      <c r="H819" t="s">
        <v>3202</v>
      </c>
      <c r="I819" t="s">
        <v>4084</v>
      </c>
      <c r="J819" t="s">
        <v>4243</v>
      </c>
      <c r="K819">
        <v>11691</v>
      </c>
      <c r="L819" t="s">
        <v>4275</v>
      </c>
      <c r="M819" t="s">
        <v>4275</v>
      </c>
      <c r="O819" t="s">
        <v>4283</v>
      </c>
      <c r="P819" t="s">
        <v>5001</v>
      </c>
      <c r="Q819" t="s">
        <v>5731</v>
      </c>
      <c r="R819" t="s">
        <v>5751</v>
      </c>
      <c r="S819" t="s">
        <v>5758</v>
      </c>
      <c r="T819" t="s">
        <v>4276</v>
      </c>
      <c r="V819" t="s">
        <v>5767</v>
      </c>
      <c r="W819" t="s">
        <v>5772</v>
      </c>
      <c r="X819" t="s">
        <v>103</v>
      </c>
      <c r="Y819">
        <v>1301.06</v>
      </c>
      <c r="Z819" t="s">
        <v>5803</v>
      </c>
      <c r="AA819" t="s">
        <v>5804</v>
      </c>
      <c r="AB819" t="s">
        <v>5820</v>
      </c>
      <c r="AC819" t="s">
        <v>6581</v>
      </c>
      <c r="AD819" t="s">
        <v>7589</v>
      </c>
      <c r="AE819" t="s">
        <v>8564</v>
      </c>
      <c r="AF819">
        <v>917</v>
      </c>
      <c r="AG819" t="s">
        <v>9270</v>
      </c>
      <c r="AH819" t="s">
        <v>9288</v>
      </c>
      <c r="AI819">
        <v>1</v>
      </c>
      <c r="AJ819">
        <v>1</v>
      </c>
      <c r="AK819">
        <v>0</v>
      </c>
      <c r="AL819">
        <v>76.41</v>
      </c>
      <c r="AO819" t="s">
        <v>1425</v>
      </c>
      <c r="AP819">
        <v>9276</v>
      </c>
      <c r="AR819" t="s">
        <v>9328</v>
      </c>
      <c r="AS819" t="s">
        <v>9336</v>
      </c>
      <c r="AT819" t="s">
        <v>9369</v>
      </c>
      <c r="AU819" t="s">
        <v>9492</v>
      </c>
      <c r="AV819">
        <v>18.48</v>
      </c>
      <c r="AW819" t="s">
        <v>73</v>
      </c>
    </row>
    <row r="820" spans="1:49">
      <c r="A820" s="1">
        <f>HYPERLINK("https://cms.ls-nyc.org/matter/dynamic-profile/view/1877029","18-1877029")</f>
        <v>0</v>
      </c>
      <c r="B820" t="s">
        <v>68</v>
      </c>
      <c r="C820" t="s">
        <v>82</v>
      </c>
      <c r="D820" t="s">
        <v>252</v>
      </c>
      <c r="E820" t="s">
        <v>92</v>
      </c>
      <c r="F820" t="s">
        <v>514</v>
      </c>
      <c r="G820" t="s">
        <v>1836</v>
      </c>
      <c r="H820" t="s">
        <v>3202</v>
      </c>
      <c r="I820" t="s">
        <v>4084</v>
      </c>
      <c r="J820" t="s">
        <v>4243</v>
      </c>
      <c r="K820">
        <v>11691</v>
      </c>
      <c r="L820" t="s">
        <v>4275</v>
      </c>
      <c r="M820" t="s">
        <v>4275</v>
      </c>
      <c r="O820" t="s">
        <v>4283</v>
      </c>
      <c r="P820" t="s">
        <v>5002</v>
      </c>
      <c r="Q820" t="s">
        <v>5731</v>
      </c>
      <c r="R820" t="s">
        <v>5751</v>
      </c>
      <c r="S820" t="s">
        <v>5758</v>
      </c>
      <c r="T820" t="s">
        <v>4276</v>
      </c>
      <c r="V820" t="s">
        <v>5767</v>
      </c>
      <c r="W820" t="s">
        <v>5772</v>
      </c>
      <c r="X820" t="s">
        <v>252</v>
      </c>
      <c r="Y820">
        <v>1301.06</v>
      </c>
      <c r="Z820" t="s">
        <v>5803</v>
      </c>
      <c r="AA820" t="s">
        <v>5804</v>
      </c>
      <c r="AB820" t="s">
        <v>5820</v>
      </c>
      <c r="AC820" t="s">
        <v>6581</v>
      </c>
      <c r="AD820" t="s">
        <v>7589</v>
      </c>
      <c r="AE820" t="s">
        <v>8564</v>
      </c>
      <c r="AF820">
        <v>917</v>
      </c>
      <c r="AG820" t="s">
        <v>9272</v>
      </c>
      <c r="AH820" t="s">
        <v>9288</v>
      </c>
      <c r="AI820">
        <v>1</v>
      </c>
      <c r="AJ820">
        <v>1</v>
      </c>
      <c r="AK820">
        <v>0</v>
      </c>
      <c r="AL820">
        <v>76.41</v>
      </c>
      <c r="AO820" t="s">
        <v>1425</v>
      </c>
      <c r="AP820">
        <v>9276</v>
      </c>
      <c r="AR820" t="s">
        <v>9328</v>
      </c>
      <c r="AS820" t="s">
        <v>9337</v>
      </c>
      <c r="AT820" t="s">
        <v>9369</v>
      </c>
      <c r="AU820" t="s">
        <v>9504</v>
      </c>
      <c r="AV820">
        <v>11.63</v>
      </c>
      <c r="AW820" t="s">
        <v>54</v>
      </c>
    </row>
    <row r="821" spans="1:49">
      <c r="A821" s="1">
        <f>HYPERLINK("https://cms.ls-nyc.org/matter/dynamic-profile/view/1877981","18-1877981")</f>
        <v>0</v>
      </c>
      <c r="B821" t="s">
        <v>68</v>
      </c>
      <c r="C821" t="s">
        <v>82</v>
      </c>
      <c r="D821" t="s">
        <v>126</v>
      </c>
      <c r="E821" t="s">
        <v>235</v>
      </c>
      <c r="F821" t="s">
        <v>936</v>
      </c>
      <c r="G821" t="s">
        <v>2003</v>
      </c>
      <c r="H821" t="s">
        <v>3203</v>
      </c>
      <c r="I821">
        <v>302</v>
      </c>
      <c r="J821" t="s">
        <v>4254</v>
      </c>
      <c r="K821">
        <v>11692</v>
      </c>
      <c r="L821" t="s">
        <v>4275</v>
      </c>
      <c r="M821" t="s">
        <v>4275</v>
      </c>
      <c r="O821" t="s">
        <v>4283</v>
      </c>
      <c r="P821" t="s">
        <v>5003</v>
      </c>
      <c r="Q821" t="s">
        <v>5731</v>
      </c>
      <c r="R821" t="s">
        <v>5753</v>
      </c>
      <c r="S821" t="s">
        <v>5759</v>
      </c>
      <c r="T821" t="s">
        <v>4276</v>
      </c>
      <c r="V821" t="s">
        <v>5767</v>
      </c>
      <c r="W821" t="s">
        <v>5772</v>
      </c>
      <c r="X821" t="s">
        <v>126</v>
      </c>
      <c r="Y821">
        <v>2181</v>
      </c>
      <c r="Z821" t="s">
        <v>5803</v>
      </c>
      <c r="AA821" t="s">
        <v>5804</v>
      </c>
      <c r="AB821" t="s">
        <v>5821</v>
      </c>
      <c r="AC821" t="s">
        <v>6582</v>
      </c>
      <c r="AD821" t="s">
        <v>7590</v>
      </c>
      <c r="AE821" t="s">
        <v>8565</v>
      </c>
      <c r="AF821">
        <v>10</v>
      </c>
      <c r="AG821" t="s">
        <v>9273</v>
      </c>
      <c r="AH821" t="s">
        <v>9282</v>
      </c>
      <c r="AI821">
        <v>5</v>
      </c>
      <c r="AJ821">
        <v>1</v>
      </c>
      <c r="AK821">
        <v>4</v>
      </c>
      <c r="AL821">
        <v>84.98</v>
      </c>
      <c r="AO821" t="s">
        <v>1425</v>
      </c>
      <c r="AP821">
        <v>25000</v>
      </c>
      <c r="AV821">
        <v>3.98</v>
      </c>
      <c r="AW821" t="s">
        <v>73</v>
      </c>
    </row>
    <row r="822" spans="1:49">
      <c r="A822" s="1">
        <f>HYPERLINK("https://cms.ls-nyc.org/matter/dynamic-profile/view/1900589","19-1900589")</f>
        <v>0</v>
      </c>
      <c r="B822" t="s">
        <v>68</v>
      </c>
      <c r="C822" t="s">
        <v>83</v>
      </c>
      <c r="D822" t="s">
        <v>87</v>
      </c>
      <c r="F822" t="s">
        <v>937</v>
      </c>
      <c r="G822" t="s">
        <v>1779</v>
      </c>
      <c r="H822" t="s">
        <v>2823</v>
      </c>
      <c r="I822" t="s">
        <v>4085</v>
      </c>
      <c r="J822" t="s">
        <v>4240</v>
      </c>
      <c r="K822">
        <v>11373</v>
      </c>
      <c r="L822" t="s">
        <v>4275</v>
      </c>
      <c r="M822" t="s">
        <v>4277</v>
      </c>
      <c r="N822" t="s">
        <v>4278</v>
      </c>
      <c r="O822" t="s">
        <v>4281</v>
      </c>
      <c r="P822" t="s">
        <v>5004</v>
      </c>
      <c r="Q822" t="s">
        <v>5731</v>
      </c>
      <c r="R822" t="s">
        <v>5751</v>
      </c>
      <c r="T822" t="s">
        <v>4275</v>
      </c>
      <c r="V822" t="s">
        <v>5767</v>
      </c>
      <c r="W822" t="s">
        <v>5772</v>
      </c>
      <c r="X822" t="s">
        <v>87</v>
      </c>
      <c r="Y822">
        <v>946.73</v>
      </c>
      <c r="Z822" t="s">
        <v>5803</v>
      </c>
      <c r="AA822" t="s">
        <v>5805</v>
      </c>
      <c r="AC822" t="s">
        <v>6583</v>
      </c>
      <c r="AD822" t="s">
        <v>7591</v>
      </c>
      <c r="AE822" t="s">
        <v>8566</v>
      </c>
      <c r="AF822">
        <v>353</v>
      </c>
      <c r="AG822" t="s">
        <v>9272</v>
      </c>
      <c r="AH822" t="s">
        <v>9287</v>
      </c>
      <c r="AI822">
        <v>25</v>
      </c>
      <c r="AJ822">
        <v>2</v>
      </c>
      <c r="AK822">
        <v>0</v>
      </c>
      <c r="AL822">
        <v>85.16</v>
      </c>
      <c r="AO822" t="s">
        <v>9305</v>
      </c>
      <c r="AP822">
        <v>14400</v>
      </c>
      <c r="AV822">
        <v>4.65</v>
      </c>
      <c r="AW822" t="s">
        <v>60</v>
      </c>
    </row>
    <row r="823" spans="1:49">
      <c r="A823" s="1">
        <f>HYPERLINK("https://cms.ls-nyc.org/matter/dynamic-profile/view/1881903","18-1881903")</f>
        <v>0</v>
      </c>
      <c r="B823" t="s">
        <v>68</v>
      </c>
      <c r="C823" t="s">
        <v>82</v>
      </c>
      <c r="D823" t="s">
        <v>170</v>
      </c>
      <c r="E823" t="s">
        <v>170</v>
      </c>
      <c r="F823" t="s">
        <v>824</v>
      </c>
      <c r="G823" t="s">
        <v>1899</v>
      </c>
      <c r="H823" t="s">
        <v>3079</v>
      </c>
      <c r="I823">
        <v>1</v>
      </c>
      <c r="J823" t="s">
        <v>4241</v>
      </c>
      <c r="K823">
        <v>11368</v>
      </c>
      <c r="L823" t="s">
        <v>4275</v>
      </c>
      <c r="M823" t="s">
        <v>4275</v>
      </c>
      <c r="O823" t="s">
        <v>4284</v>
      </c>
      <c r="P823" t="s">
        <v>4700</v>
      </c>
      <c r="Q823" t="s">
        <v>5732</v>
      </c>
      <c r="R823" t="s">
        <v>5753</v>
      </c>
      <c r="S823" t="s">
        <v>5759</v>
      </c>
      <c r="T823" t="s">
        <v>4276</v>
      </c>
      <c r="V823" t="s">
        <v>5767</v>
      </c>
      <c r="W823" t="s">
        <v>5772</v>
      </c>
      <c r="X823" t="s">
        <v>170</v>
      </c>
      <c r="Y823">
        <v>0</v>
      </c>
      <c r="Z823" t="s">
        <v>5803</v>
      </c>
      <c r="AA823" t="s">
        <v>5815</v>
      </c>
      <c r="AB823" t="s">
        <v>5821</v>
      </c>
      <c r="AC823" t="s">
        <v>6435</v>
      </c>
      <c r="AD823" t="s">
        <v>7289</v>
      </c>
      <c r="AE823" t="s">
        <v>7289</v>
      </c>
      <c r="AF823">
        <v>5</v>
      </c>
      <c r="AG823" t="s">
        <v>9269</v>
      </c>
      <c r="AH823" t="s">
        <v>4280</v>
      </c>
      <c r="AI823">
        <v>6</v>
      </c>
      <c r="AJ823">
        <v>1</v>
      </c>
      <c r="AK823">
        <v>2</v>
      </c>
      <c r="AL823">
        <v>90.09</v>
      </c>
      <c r="AM823" t="s">
        <v>9291</v>
      </c>
      <c r="AN823" t="s">
        <v>9295</v>
      </c>
      <c r="AO823" t="s">
        <v>9317</v>
      </c>
      <c r="AP823">
        <v>18720</v>
      </c>
      <c r="AV823">
        <v>0.85</v>
      </c>
      <c r="AW823" t="s">
        <v>68</v>
      </c>
    </row>
    <row r="824" spans="1:49">
      <c r="A824" s="1">
        <f>HYPERLINK("https://cms.ls-nyc.org/matter/dynamic-profile/view/1879538","18-1879538")</f>
        <v>0</v>
      </c>
      <c r="B824" t="s">
        <v>68</v>
      </c>
      <c r="C824" t="s">
        <v>82</v>
      </c>
      <c r="D824" t="s">
        <v>128</v>
      </c>
      <c r="E824" t="s">
        <v>158</v>
      </c>
      <c r="F824" t="s">
        <v>938</v>
      </c>
      <c r="G824" t="s">
        <v>2004</v>
      </c>
      <c r="H824" t="s">
        <v>3204</v>
      </c>
      <c r="I824" t="s">
        <v>3901</v>
      </c>
      <c r="J824" t="s">
        <v>4230</v>
      </c>
      <c r="K824">
        <v>11101</v>
      </c>
      <c r="L824" t="s">
        <v>4275</v>
      </c>
      <c r="M824" t="s">
        <v>4275</v>
      </c>
      <c r="O824" t="s">
        <v>4284</v>
      </c>
      <c r="P824" t="s">
        <v>4698</v>
      </c>
      <c r="Q824" t="s">
        <v>4698</v>
      </c>
      <c r="R824" t="s">
        <v>5753</v>
      </c>
      <c r="S824" t="s">
        <v>5759</v>
      </c>
      <c r="T824" t="s">
        <v>4276</v>
      </c>
      <c r="V824" t="s">
        <v>5768</v>
      </c>
      <c r="W824" t="s">
        <v>5772</v>
      </c>
      <c r="X824" t="s">
        <v>128</v>
      </c>
      <c r="Y824">
        <v>1036</v>
      </c>
      <c r="Z824" t="s">
        <v>5803</v>
      </c>
      <c r="AA824" t="s">
        <v>5815</v>
      </c>
      <c r="AB824" t="s">
        <v>5821</v>
      </c>
      <c r="AC824" t="s">
        <v>6584</v>
      </c>
      <c r="AE824" t="s">
        <v>8567</v>
      </c>
      <c r="AF824">
        <v>492</v>
      </c>
      <c r="AG824" t="s">
        <v>9271</v>
      </c>
      <c r="AH824" t="s">
        <v>9282</v>
      </c>
      <c r="AI824">
        <v>6</v>
      </c>
      <c r="AJ824">
        <v>1</v>
      </c>
      <c r="AK824">
        <v>1</v>
      </c>
      <c r="AL824">
        <v>91.13</v>
      </c>
      <c r="AM824" t="s">
        <v>9291</v>
      </c>
      <c r="AN824" t="s">
        <v>9295</v>
      </c>
      <c r="AO824" t="s">
        <v>9301</v>
      </c>
      <c r="AP824">
        <v>15000</v>
      </c>
      <c r="AV824">
        <v>2.09</v>
      </c>
      <c r="AW824" t="s">
        <v>68</v>
      </c>
    </row>
    <row r="825" spans="1:49">
      <c r="A825" s="1">
        <f>HYPERLINK("https://cms.ls-nyc.org/matter/dynamic-profile/view/1899237","19-1899237")</f>
        <v>0</v>
      </c>
      <c r="B825" t="s">
        <v>68</v>
      </c>
      <c r="C825" t="s">
        <v>83</v>
      </c>
      <c r="D825" t="s">
        <v>161</v>
      </c>
      <c r="F825" t="s">
        <v>939</v>
      </c>
      <c r="G825" t="s">
        <v>2005</v>
      </c>
      <c r="H825" t="s">
        <v>3205</v>
      </c>
      <c r="I825" t="s">
        <v>3902</v>
      </c>
      <c r="J825" t="s">
        <v>4225</v>
      </c>
      <c r="K825">
        <v>11385</v>
      </c>
      <c r="L825" t="s">
        <v>4275</v>
      </c>
      <c r="M825" t="s">
        <v>4277</v>
      </c>
      <c r="N825" t="s">
        <v>4278</v>
      </c>
      <c r="O825" t="s">
        <v>4281</v>
      </c>
      <c r="P825" t="s">
        <v>5005</v>
      </c>
      <c r="Q825" t="s">
        <v>5731</v>
      </c>
      <c r="R825" t="s">
        <v>5751</v>
      </c>
      <c r="T825" t="s">
        <v>4276</v>
      </c>
      <c r="V825" t="s">
        <v>5767</v>
      </c>
      <c r="W825" t="s">
        <v>5772</v>
      </c>
      <c r="X825" t="s">
        <v>161</v>
      </c>
      <c r="Y825">
        <v>2004</v>
      </c>
      <c r="Z825" t="s">
        <v>5803</v>
      </c>
      <c r="AA825" t="s">
        <v>5805</v>
      </c>
      <c r="AC825" t="s">
        <v>6585</v>
      </c>
      <c r="AD825" t="s">
        <v>7339</v>
      </c>
      <c r="AE825" t="s">
        <v>8568</v>
      </c>
      <c r="AF825">
        <v>8</v>
      </c>
      <c r="AG825" t="s">
        <v>9272</v>
      </c>
      <c r="AH825" t="s">
        <v>4280</v>
      </c>
      <c r="AI825">
        <v>2</v>
      </c>
      <c r="AJ825">
        <v>1</v>
      </c>
      <c r="AK825">
        <v>0</v>
      </c>
      <c r="AL825">
        <v>92.43000000000001</v>
      </c>
      <c r="AO825" t="s">
        <v>1425</v>
      </c>
      <c r="AP825">
        <v>11544</v>
      </c>
      <c r="AV825">
        <v>13.4</v>
      </c>
      <c r="AW825" t="s">
        <v>9548</v>
      </c>
    </row>
    <row r="826" spans="1:49">
      <c r="A826" s="1">
        <f>HYPERLINK("https://cms.ls-nyc.org/matter/dynamic-profile/view/1897581","19-1897581")</f>
        <v>0</v>
      </c>
      <c r="B826" t="s">
        <v>68</v>
      </c>
      <c r="C826" t="s">
        <v>83</v>
      </c>
      <c r="D826" t="s">
        <v>107</v>
      </c>
      <c r="F826" t="s">
        <v>940</v>
      </c>
      <c r="G826" t="s">
        <v>1853</v>
      </c>
      <c r="H826" t="s">
        <v>3206</v>
      </c>
      <c r="J826" t="s">
        <v>4222</v>
      </c>
      <c r="K826">
        <v>11433</v>
      </c>
      <c r="L826" t="s">
        <v>4275</v>
      </c>
      <c r="M826" t="s">
        <v>4275</v>
      </c>
      <c r="N826" t="s">
        <v>4278</v>
      </c>
      <c r="O826" t="s">
        <v>4281</v>
      </c>
      <c r="P826" t="s">
        <v>5006</v>
      </c>
      <c r="Q826" t="s">
        <v>5732</v>
      </c>
      <c r="R826" t="s">
        <v>5751</v>
      </c>
      <c r="T826" t="s">
        <v>4276</v>
      </c>
      <c r="V826" t="s">
        <v>5767</v>
      </c>
      <c r="W826" t="s">
        <v>5772</v>
      </c>
      <c r="X826" t="s">
        <v>107</v>
      </c>
      <c r="Y826">
        <v>950</v>
      </c>
      <c r="Z826" t="s">
        <v>5803</v>
      </c>
      <c r="AA826" t="s">
        <v>5805</v>
      </c>
      <c r="AC826" t="s">
        <v>6586</v>
      </c>
      <c r="AE826" t="s">
        <v>8569</v>
      </c>
      <c r="AF826">
        <v>2</v>
      </c>
      <c r="AG826" t="s">
        <v>9270</v>
      </c>
      <c r="AH826" t="s">
        <v>4280</v>
      </c>
      <c r="AI826">
        <v>7</v>
      </c>
      <c r="AJ826">
        <v>1</v>
      </c>
      <c r="AK826">
        <v>0</v>
      </c>
      <c r="AL826">
        <v>95.02</v>
      </c>
      <c r="AO826" t="s">
        <v>1425</v>
      </c>
      <c r="AP826">
        <v>11868</v>
      </c>
      <c r="AV826">
        <v>12.3</v>
      </c>
      <c r="AW826" t="s">
        <v>54</v>
      </c>
    </row>
    <row r="827" spans="1:49">
      <c r="A827" s="1">
        <f>HYPERLINK("https://cms.ls-nyc.org/matter/dynamic-profile/view/1890261","19-1890261")</f>
        <v>0</v>
      </c>
      <c r="B827" t="s">
        <v>68</v>
      </c>
      <c r="C827" t="s">
        <v>82</v>
      </c>
      <c r="D827" t="s">
        <v>127</v>
      </c>
      <c r="E827" t="s">
        <v>101</v>
      </c>
      <c r="F827" t="s">
        <v>941</v>
      </c>
      <c r="G827" t="s">
        <v>1959</v>
      </c>
      <c r="H827" t="s">
        <v>3207</v>
      </c>
      <c r="I827" t="s">
        <v>4012</v>
      </c>
      <c r="J827" t="s">
        <v>4245</v>
      </c>
      <c r="K827">
        <v>11418</v>
      </c>
      <c r="L827" t="s">
        <v>4275</v>
      </c>
      <c r="M827" t="s">
        <v>4275</v>
      </c>
      <c r="O827" t="s">
        <v>4282</v>
      </c>
      <c r="P827" t="s">
        <v>5007</v>
      </c>
      <c r="Q827" t="s">
        <v>5731</v>
      </c>
      <c r="R827" t="s">
        <v>5751</v>
      </c>
      <c r="S827" t="s">
        <v>5762</v>
      </c>
      <c r="T827" t="s">
        <v>4276</v>
      </c>
      <c r="V827" t="s">
        <v>5767</v>
      </c>
      <c r="W827" t="s">
        <v>5772</v>
      </c>
      <c r="X827" t="s">
        <v>127</v>
      </c>
      <c r="Y827">
        <v>1530</v>
      </c>
      <c r="Z827" t="s">
        <v>5803</v>
      </c>
      <c r="AA827" t="s">
        <v>5804</v>
      </c>
      <c r="AB827" t="s">
        <v>5820</v>
      </c>
      <c r="AC827" t="s">
        <v>6587</v>
      </c>
      <c r="AD827" t="s">
        <v>7592</v>
      </c>
      <c r="AE827" t="s">
        <v>8570</v>
      </c>
      <c r="AF827">
        <v>6</v>
      </c>
      <c r="AG827" t="s">
        <v>9272</v>
      </c>
      <c r="AH827" t="s">
        <v>4280</v>
      </c>
      <c r="AI827">
        <v>2</v>
      </c>
      <c r="AJ827">
        <v>1</v>
      </c>
      <c r="AK827">
        <v>1</v>
      </c>
      <c r="AL827">
        <v>106.45</v>
      </c>
      <c r="AO827" t="s">
        <v>1425</v>
      </c>
      <c r="AP827">
        <v>18000</v>
      </c>
      <c r="AS827" t="s">
        <v>9337</v>
      </c>
      <c r="AT827" t="s">
        <v>9369</v>
      </c>
      <c r="AU827" t="s">
        <v>9391</v>
      </c>
      <c r="AV827">
        <v>4.55</v>
      </c>
      <c r="AW827" t="s">
        <v>74</v>
      </c>
    </row>
    <row r="828" spans="1:49">
      <c r="A828" s="1">
        <f>HYPERLINK("https://cms.ls-nyc.org/matter/dynamic-profile/view/1881333","18-1881333")</f>
        <v>0</v>
      </c>
      <c r="B828" t="s">
        <v>68</v>
      </c>
      <c r="C828" t="s">
        <v>82</v>
      </c>
      <c r="D828" t="s">
        <v>150</v>
      </c>
      <c r="E828" t="s">
        <v>304</v>
      </c>
      <c r="F828" t="s">
        <v>942</v>
      </c>
      <c r="G828" t="s">
        <v>2006</v>
      </c>
      <c r="H828" t="s">
        <v>2820</v>
      </c>
      <c r="J828" t="s">
        <v>4243</v>
      </c>
      <c r="K828">
        <v>11691</v>
      </c>
      <c r="L828" t="s">
        <v>4275</v>
      </c>
      <c r="M828" t="s">
        <v>4275</v>
      </c>
      <c r="O828" t="s">
        <v>4283</v>
      </c>
      <c r="P828" t="s">
        <v>5008</v>
      </c>
      <c r="Q828" t="s">
        <v>5731</v>
      </c>
      <c r="R828" t="s">
        <v>5751</v>
      </c>
      <c r="S828" t="s">
        <v>5758</v>
      </c>
      <c r="T828" t="s">
        <v>4275</v>
      </c>
      <c r="V828" t="s">
        <v>5767</v>
      </c>
      <c r="W828" t="s">
        <v>5774</v>
      </c>
      <c r="X828" t="s">
        <v>130</v>
      </c>
      <c r="Y828">
        <v>1075</v>
      </c>
      <c r="Z828" t="s">
        <v>5803</v>
      </c>
      <c r="AA828" t="s">
        <v>5804</v>
      </c>
      <c r="AB828" t="s">
        <v>5820</v>
      </c>
      <c r="AC828" t="s">
        <v>6588</v>
      </c>
      <c r="AD828" t="s">
        <v>7593</v>
      </c>
      <c r="AE828" t="s">
        <v>8571</v>
      </c>
      <c r="AF828">
        <v>602</v>
      </c>
      <c r="AG828" t="s">
        <v>9270</v>
      </c>
      <c r="AH828" t="s">
        <v>5806</v>
      </c>
      <c r="AI828">
        <v>10</v>
      </c>
      <c r="AJ828">
        <v>2</v>
      </c>
      <c r="AK828">
        <v>3</v>
      </c>
      <c r="AL828">
        <v>108.77</v>
      </c>
      <c r="AO828" t="s">
        <v>1425</v>
      </c>
      <c r="AP828">
        <v>32000</v>
      </c>
      <c r="AR828" t="s">
        <v>9329</v>
      </c>
      <c r="AS828" t="s">
        <v>9337</v>
      </c>
      <c r="AT828" t="s">
        <v>9369</v>
      </c>
      <c r="AU828" t="s">
        <v>9380</v>
      </c>
      <c r="AV828">
        <v>4.15</v>
      </c>
      <c r="AW828" t="s">
        <v>55</v>
      </c>
    </row>
    <row r="829" spans="1:49">
      <c r="A829" s="1">
        <f>HYPERLINK("https://cms.ls-nyc.org/matter/dynamic-profile/view/1894337","19-1894337")</f>
        <v>0</v>
      </c>
      <c r="B829" t="s">
        <v>68</v>
      </c>
      <c r="C829" t="s">
        <v>83</v>
      </c>
      <c r="D829" t="s">
        <v>121</v>
      </c>
      <c r="F829" t="s">
        <v>943</v>
      </c>
      <c r="G829" t="s">
        <v>2007</v>
      </c>
      <c r="H829" t="s">
        <v>3208</v>
      </c>
      <c r="I829" t="s">
        <v>3978</v>
      </c>
      <c r="J829" t="s">
        <v>4225</v>
      </c>
      <c r="K829">
        <v>11385</v>
      </c>
      <c r="L829" t="s">
        <v>4275</v>
      </c>
      <c r="M829" t="s">
        <v>4275</v>
      </c>
      <c r="N829" t="s">
        <v>4278</v>
      </c>
      <c r="O829" t="s">
        <v>4281</v>
      </c>
      <c r="P829" t="s">
        <v>5009</v>
      </c>
      <c r="Q829" t="s">
        <v>5732</v>
      </c>
      <c r="R829" t="s">
        <v>5751</v>
      </c>
      <c r="T829" t="s">
        <v>4276</v>
      </c>
      <c r="V829" t="s">
        <v>5767</v>
      </c>
      <c r="W829" t="s">
        <v>5772</v>
      </c>
      <c r="X829" t="s">
        <v>121</v>
      </c>
      <c r="Y829">
        <v>1300</v>
      </c>
      <c r="Z829" t="s">
        <v>5803</v>
      </c>
      <c r="AA829" t="s">
        <v>5805</v>
      </c>
      <c r="AC829" t="s">
        <v>6589</v>
      </c>
      <c r="AD829" t="s">
        <v>7339</v>
      </c>
      <c r="AE829" t="s">
        <v>8572</v>
      </c>
      <c r="AF829">
        <v>4</v>
      </c>
      <c r="AG829" t="s">
        <v>9269</v>
      </c>
      <c r="AH829" t="s">
        <v>4280</v>
      </c>
      <c r="AI829">
        <v>4</v>
      </c>
      <c r="AJ829">
        <v>1</v>
      </c>
      <c r="AK829">
        <v>0</v>
      </c>
      <c r="AL829">
        <v>120.1</v>
      </c>
      <c r="AO829" t="s">
        <v>1425</v>
      </c>
      <c r="AP829">
        <v>15000</v>
      </c>
      <c r="AR829" t="s">
        <v>9327</v>
      </c>
      <c r="AS829" t="s">
        <v>5806</v>
      </c>
      <c r="AT829" t="s">
        <v>9370</v>
      </c>
      <c r="AU829" t="s">
        <v>9505</v>
      </c>
      <c r="AV829">
        <v>7.1</v>
      </c>
      <c r="AW829" t="s">
        <v>54</v>
      </c>
    </row>
    <row r="830" spans="1:49">
      <c r="A830" s="1">
        <f>HYPERLINK("https://cms.ls-nyc.org/matter/dynamic-profile/view/1897975","19-1897975")</f>
        <v>0</v>
      </c>
      <c r="B830" t="s">
        <v>68</v>
      </c>
      <c r="C830" t="s">
        <v>83</v>
      </c>
      <c r="D830" t="s">
        <v>123</v>
      </c>
      <c r="F830" t="s">
        <v>944</v>
      </c>
      <c r="G830" t="s">
        <v>2008</v>
      </c>
      <c r="H830" t="s">
        <v>3209</v>
      </c>
      <c r="J830" t="s">
        <v>4222</v>
      </c>
      <c r="K830">
        <v>11433</v>
      </c>
      <c r="L830" t="s">
        <v>4275</v>
      </c>
      <c r="M830" t="s">
        <v>4275</v>
      </c>
      <c r="N830" t="s">
        <v>4278</v>
      </c>
      <c r="O830" t="s">
        <v>4281</v>
      </c>
      <c r="P830" t="s">
        <v>5010</v>
      </c>
      <c r="Q830" t="s">
        <v>5732</v>
      </c>
      <c r="R830" t="s">
        <v>5751</v>
      </c>
      <c r="T830" t="s">
        <v>4276</v>
      </c>
      <c r="V830" t="s">
        <v>5767</v>
      </c>
      <c r="W830" t="s">
        <v>5772</v>
      </c>
      <c r="X830" t="s">
        <v>123</v>
      </c>
      <c r="Y830">
        <v>1046</v>
      </c>
      <c r="Z830" t="s">
        <v>5803</v>
      </c>
      <c r="AA830" t="s">
        <v>5804</v>
      </c>
      <c r="AC830" t="s">
        <v>6590</v>
      </c>
      <c r="AD830" t="s">
        <v>7594</v>
      </c>
      <c r="AE830" t="s">
        <v>8573</v>
      </c>
      <c r="AF830">
        <v>7</v>
      </c>
      <c r="AG830" t="s">
        <v>9272</v>
      </c>
      <c r="AH830" t="s">
        <v>9284</v>
      </c>
      <c r="AI830">
        <v>3</v>
      </c>
      <c r="AJ830">
        <v>1</v>
      </c>
      <c r="AK830">
        <v>0</v>
      </c>
      <c r="AL830">
        <v>121.25</v>
      </c>
      <c r="AO830" t="s">
        <v>1425</v>
      </c>
      <c r="AP830">
        <v>15144</v>
      </c>
      <c r="AV830">
        <v>18.8</v>
      </c>
      <c r="AW830" t="s">
        <v>50</v>
      </c>
    </row>
    <row r="831" spans="1:49">
      <c r="A831" s="1">
        <f>HYPERLINK("https://cms.ls-nyc.org/matter/dynamic-profile/view/1893565","19-1893565")</f>
        <v>0</v>
      </c>
      <c r="B831" t="s">
        <v>68</v>
      </c>
      <c r="C831" t="s">
        <v>82</v>
      </c>
      <c r="D831" t="s">
        <v>209</v>
      </c>
      <c r="E831" t="s">
        <v>209</v>
      </c>
      <c r="F831" t="s">
        <v>945</v>
      </c>
      <c r="G831" t="s">
        <v>1641</v>
      </c>
      <c r="H831" t="s">
        <v>3210</v>
      </c>
      <c r="I831" t="s">
        <v>3985</v>
      </c>
      <c r="J831" t="s">
        <v>4236</v>
      </c>
      <c r="K831">
        <v>11417</v>
      </c>
      <c r="L831" t="s">
        <v>4275</v>
      </c>
      <c r="M831" t="s">
        <v>4275</v>
      </c>
      <c r="O831" t="s">
        <v>4284</v>
      </c>
      <c r="P831" t="s">
        <v>4416</v>
      </c>
      <c r="Q831" t="s">
        <v>4698</v>
      </c>
      <c r="R831" t="s">
        <v>5753</v>
      </c>
      <c r="S831" t="s">
        <v>5764</v>
      </c>
      <c r="T831" t="s">
        <v>4276</v>
      </c>
      <c r="V831" t="s">
        <v>5767</v>
      </c>
      <c r="W831" t="s">
        <v>5772</v>
      </c>
      <c r="X831" t="s">
        <v>209</v>
      </c>
      <c r="Y831">
        <v>1900</v>
      </c>
      <c r="Z831" t="s">
        <v>5803</v>
      </c>
      <c r="AA831" t="s">
        <v>5815</v>
      </c>
      <c r="AB831" t="s">
        <v>5821</v>
      </c>
      <c r="AC831" t="s">
        <v>6591</v>
      </c>
      <c r="AD831" t="s">
        <v>7339</v>
      </c>
      <c r="AE831" t="s">
        <v>7289</v>
      </c>
      <c r="AF831">
        <v>4</v>
      </c>
      <c r="AG831" t="s">
        <v>9269</v>
      </c>
      <c r="AH831" t="s">
        <v>4280</v>
      </c>
      <c r="AI831">
        <v>4</v>
      </c>
      <c r="AJ831">
        <v>1</v>
      </c>
      <c r="AK831">
        <v>0</v>
      </c>
      <c r="AL831">
        <v>124.9</v>
      </c>
      <c r="AM831" t="s">
        <v>9291</v>
      </c>
      <c r="AN831" t="s">
        <v>9295</v>
      </c>
      <c r="AO831" t="s">
        <v>9298</v>
      </c>
      <c r="AP831">
        <v>15600</v>
      </c>
      <c r="AV831">
        <v>2.4</v>
      </c>
      <c r="AW831" t="s">
        <v>68</v>
      </c>
    </row>
    <row r="832" spans="1:49">
      <c r="A832" s="1">
        <f>HYPERLINK("https://cms.ls-nyc.org/matter/dynamic-profile/view/1886593","18-1886593")</f>
        <v>0</v>
      </c>
      <c r="B832" t="s">
        <v>68</v>
      </c>
      <c r="C832" t="s">
        <v>82</v>
      </c>
      <c r="D832" t="s">
        <v>189</v>
      </c>
      <c r="E832" t="s">
        <v>282</v>
      </c>
      <c r="F832" t="s">
        <v>946</v>
      </c>
      <c r="G832" t="s">
        <v>2009</v>
      </c>
      <c r="H832" t="s">
        <v>3211</v>
      </c>
      <c r="I832" t="s">
        <v>4086</v>
      </c>
      <c r="J832" t="s">
        <v>4252</v>
      </c>
      <c r="K832">
        <v>11374</v>
      </c>
      <c r="L832" t="s">
        <v>4275</v>
      </c>
      <c r="M832" t="s">
        <v>4275</v>
      </c>
      <c r="O832" t="s">
        <v>4283</v>
      </c>
      <c r="P832" t="s">
        <v>5011</v>
      </c>
      <c r="Q832" t="s">
        <v>5732</v>
      </c>
      <c r="R832" t="s">
        <v>5753</v>
      </c>
      <c r="S832" t="s">
        <v>5759</v>
      </c>
      <c r="T832" t="s">
        <v>4276</v>
      </c>
      <c r="V832" t="s">
        <v>5767</v>
      </c>
      <c r="W832" t="s">
        <v>5772</v>
      </c>
      <c r="X832" t="s">
        <v>189</v>
      </c>
      <c r="Y832">
        <v>800</v>
      </c>
      <c r="Z832" t="s">
        <v>5803</v>
      </c>
      <c r="AA832" t="s">
        <v>5804</v>
      </c>
      <c r="AB832" t="s">
        <v>5821</v>
      </c>
      <c r="AC832" t="s">
        <v>6592</v>
      </c>
      <c r="AE832" t="s">
        <v>8574</v>
      </c>
      <c r="AF832">
        <v>65</v>
      </c>
      <c r="AG832" t="s">
        <v>9270</v>
      </c>
      <c r="AH832" t="s">
        <v>4280</v>
      </c>
      <c r="AI832">
        <v>3</v>
      </c>
      <c r="AJ832">
        <v>2</v>
      </c>
      <c r="AK832">
        <v>0</v>
      </c>
      <c r="AL832">
        <v>126.34</v>
      </c>
      <c r="AO832" t="s">
        <v>1425</v>
      </c>
      <c r="AP832">
        <v>20796</v>
      </c>
      <c r="AV832">
        <v>0.84</v>
      </c>
      <c r="AW832" t="s">
        <v>68</v>
      </c>
    </row>
    <row r="833" spans="1:49">
      <c r="A833" s="1">
        <f>HYPERLINK("https://cms.ls-nyc.org/matter/dynamic-profile/view/1882070","18-1882070")</f>
        <v>0</v>
      </c>
      <c r="B833" t="s">
        <v>68</v>
      </c>
      <c r="C833" t="s">
        <v>82</v>
      </c>
      <c r="D833" t="s">
        <v>201</v>
      </c>
      <c r="E833" t="s">
        <v>201</v>
      </c>
      <c r="F833" t="s">
        <v>477</v>
      </c>
      <c r="G833" t="s">
        <v>2010</v>
      </c>
      <c r="H833" t="s">
        <v>3212</v>
      </c>
      <c r="I833" t="s">
        <v>4087</v>
      </c>
      <c r="J833" t="s">
        <v>4242</v>
      </c>
      <c r="K833">
        <v>11364</v>
      </c>
      <c r="L833" t="s">
        <v>4275</v>
      </c>
      <c r="M833" t="s">
        <v>4275</v>
      </c>
      <c r="O833" t="s">
        <v>4284</v>
      </c>
      <c r="P833" t="s">
        <v>4700</v>
      </c>
      <c r="Q833" t="s">
        <v>4698</v>
      </c>
      <c r="R833" t="s">
        <v>5753</v>
      </c>
      <c r="S833" t="s">
        <v>5759</v>
      </c>
      <c r="T833" t="s">
        <v>4276</v>
      </c>
      <c r="V833" t="s">
        <v>5767</v>
      </c>
      <c r="W833" t="s">
        <v>5772</v>
      </c>
      <c r="X833" t="s">
        <v>201</v>
      </c>
      <c r="Y833">
        <v>2208.18</v>
      </c>
      <c r="Z833" t="s">
        <v>5803</v>
      </c>
      <c r="AA833" t="s">
        <v>5815</v>
      </c>
      <c r="AB833" t="s">
        <v>5821</v>
      </c>
      <c r="AC833" t="s">
        <v>6593</v>
      </c>
      <c r="AE833" t="s">
        <v>8575</v>
      </c>
      <c r="AF833">
        <v>224</v>
      </c>
      <c r="AG833" t="s">
        <v>9272</v>
      </c>
      <c r="AH833" t="s">
        <v>4280</v>
      </c>
      <c r="AI833">
        <v>4</v>
      </c>
      <c r="AJ833">
        <v>1</v>
      </c>
      <c r="AK833">
        <v>0</v>
      </c>
      <c r="AL833">
        <v>132.06</v>
      </c>
      <c r="AM833" t="s">
        <v>9291</v>
      </c>
      <c r="AN833" t="s">
        <v>9295</v>
      </c>
      <c r="AO833" t="s">
        <v>1425</v>
      </c>
      <c r="AP833">
        <v>16032</v>
      </c>
      <c r="AV833">
        <v>1.15</v>
      </c>
      <c r="AW833" t="s">
        <v>68</v>
      </c>
    </row>
    <row r="834" spans="1:49">
      <c r="A834" s="1">
        <f>HYPERLINK("https://cms.ls-nyc.org/matter/dynamic-profile/view/1889945","19-1889945")</f>
        <v>0</v>
      </c>
      <c r="B834" t="s">
        <v>68</v>
      </c>
      <c r="C834" t="s">
        <v>83</v>
      </c>
      <c r="D834" t="s">
        <v>175</v>
      </c>
      <c r="F834" t="s">
        <v>947</v>
      </c>
      <c r="G834" t="s">
        <v>2011</v>
      </c>
      <c r="H834" t="s">
        <v>3213</v>
      </c>
      <c r="I834">
        <v>516</v>
      </c>
      <c r="J834" t="s">
        <v>4229</v>
      </c>
      <c r="K834">
        <v>11355</v>
      </c>
      <c r="L834" t="s">
        <v>4275</v>
      </c>
      <c r="M834" t="s">
        <v>4275</v>
      </c>
      <c r="N834" t="s">
        <v>4278</v>
      </c>
      <c r="O834" t="s">
        <v>4282</v>
      </c>
      <c r="P834" t="s">
        <v>5012</v>
      </c>
      <c r="Q834" t="s">
        <v>5731</v>
      </c>
      <c r="R834" t="s">
        <v>5751</v>
      </c>
      <c r="T834" t="s">
        <v>4276</v>
      </c>
      <c r="V834" t="s">
        <v>5767</v>
      </c>
      <c r="W834" t="s">
        <v>5772</v>
      </c>
      <c r="X834" t="s">
        <v>175</v>
      </c>
      <c r="Y834">
        <v>1222.48</v>
      </c>
      <c r="Z834" t="s">
        <v>5803</v>
      </c>
      <c r="AA834" t="s">
        <v>5804</v>
      </c>
      <c r="AC834" t="s">
        <v>6594</v>
      </c>
      <c r="AD834" t="s">
        <v>7595</v>
      </c>
      <c r="AE834" t="s">
        <v>8576</v>
      </c>
      <c r="AF834">
        <v>158</v>
      </c>
      <c r="AG834" t="s">
        <v>9274</v>
      </c>
      <c r="AH834" t="s">
        <v>9287</v>
      </c>
      <c r="AI834">
        <v>45</v>
      </c>
      <c r="AJ834">
        <v>1</v>
      </c>
      <c r="AK834">
        <v>0</v>
      </c>
      <c r="AL834">
        <v>136.11</v>
      </c>
      <c r="AO834" t="s">
        <v>1425</v>
      </c>
      <c r="AP834">
        <v>17000</v>
      </c>
      <c r="AV834">
        <v>40.59</v>
      </c>
      <c r="AW834" t="s">
        <v>73</v>
      </c>
    </row>
    <row r="835" spans="1:49">
      <c r="A835" s="1">
        <f>HYPERLINK("https://cms.ls-nyc.org/matter/dynamic-profile/view/1887027","19-1887027")</f>
        <v>0</v>
      </c>
      <c r="B835" t="s">
        <v>68</v>
      </c>
      <c r="C835" t="s">
        <v>83</v>
      </c>
      <c r="D835" t="s">
        <v>249</v>
      </c>
      <c r="F835" t="s">
        <v>948</v>
      </c>
      <c r="G835" t="s">
        <v>2012</v>
      </c>
      <c r="H835" t="s">
        <v>2741</v>
      </c>
      <c r="I835" t="s">
        <v>4038</v>
      </c>
      <c r="J835" t="s">
        <v>4222</v>
      </c>
      <c r="K835">
        <v>11433</v>
      </c>
      <c r="L835" t="s">
        <v>4275</v>
      </c>
      <c r="M835" t="s">
        <v>4275</v>
      </c>
      <c r="N835" t="s">
        <v>4278</v>
      </c>
      <c r="O835" t="s">
        <v>4281</v>
      </c>
      <c r="P835" t="s">
        <v>5013</v>
      </c>
      <c r="Q835" t="s">
        <v>5731</v>
      </c>
      <c r="R835" t="s">
        <v>5751</v>
      </c>
      <c r="T835" t="s">
        <v>4276</v>
      </c>
      <c r="V835" t="s">
        <v>5767</v>
      </c>
      <c r="W835" t="s">
        <v>5772</v>
      </c>
      <c r="X835" t="s">
        <v>235</v>
      </c>
      <c r="Y835">
        <v>587</v>
      </c>
      <c r="Z835" t="s">
        <v>5803</v>
      </c>
      <c r="AA835" t="s">
        <v>5807</v>
      </c>
      <c r="AB835" t="s">
        <v>5820</v>
      </c>
      <c r="AC835" t="s">
        <v>6595</v>
      </c>
      <c r="AD835" t="s">
        <v>7339</v>
      </c>
      <c r="AE835" t="s">
        <v>8577</v>
      </c>
      <c r="AF835">
        <v>50</v>
      </c>
      <c r="AG835" t="s">
        <v>9272</v>
      </c>
      <c r="AH835" t="s">
        <v>9287</v>
      </c>
      <c r="AI835">
        <v>9</v>
      </c>
      <c r="AJ835">
        <v>1</v>
      </c>
      <c r="AK835">
        <v>0</v>
      </c>
      <c r="AL835">
        <v>148.27</v>
      </c>
      <c r="AO835" t="s">
        <v>1425</v>
      </c>
      <c r="AP835">
        <v>18000</v>
      </c>
      <c r="AS835" t="s">
        <v>9340</v>
      </c>
      <c r="AT835" t="s">
        <v>9369</v>
      </c>
      <c r="AU835" t="s">
        <v>9506</v>
      </c>
      <c r="AV835">
        <v>26.15</v>
      </c>
      <c r="AW835" t="s">
        <v>69</v>
      </c>
    </row>
    <row r="836" spans="1:49">
      <c r="A836" s="1">
        <f>HYPERLINK("https://cms.ls-nyc.org/matter/dynamic-profile/view/1897729","19-1897729")</f>
        <v>0</v>
      </c>
      <c r="B836" t="s">
        <v>68</v>
      </c>
      <c r="C836" t="s">
        <v>83</v>
      </c>
      <c r="D836" t="s">
        <v>155</v>
      </c>
      <c r="F836" t="s">
        <v>949</v>
      </c>
      <c r="G836" t="s">
        <v>328</v>
      </c>
      <c r="J836" t="s">
        <v>4222</v>
      </c>
      <c r="K836">
        <v>11434</v>
      </c>
      <c r="L836" t="s">
        <v>4275</v>
      </c>
      <c r="M836" t="s">
        <v>4275</v>
      </c>
      <c r="N836" t="s">
        <v>4278</v>
      </c>
      <c r="O836" t="s">
        <v>4281</v>
      </c>
      <c r="P836" t="s">
        <v>5014</v>
      </c>
      <c r="Q836" t="s">
        <v>5732</v>
      </c>
      <c r="R836" t="s">
        <v>5751</v>
      </c>
      <c r="T836" t="s">
        <v>4276</v>
      </c>
      <c r="V836" t="s">
        <v>5767</v>
      </c>
      <c r="W836" t="s">
        <v>5772</v>
      </c>
      <c r="X836" t="s">
        <v>155</v>
      </c>
      <c r="Y836">
        <v>1695</v>
      </c>
      <c r="Z836" t="s">
        <v>5803</v>
      </c>
      <c r="AA836" t="s">
        <v>5807</v>
      </c>
      <c r="AC836" t="s">
        <v>6596</v>
      </c>
      <c r="AD836" t="s">
        <v>7339</v>
      </c>
      <c r="AE836" t="s">
        <v>8578</v>
      </c>
      <c r="AF836">
        <v>2</v>
      </c>
      <c r="AG836" t="s">
        <v>9269</v>
      </c>
      <c r="AH836" t="s">
        <v>9282</v>
      </c>
      <c r="AI836">
        <v>2</v>
      </c>
      <c r="AJ836">
        <v>2</v>
      </c>
      <c r="AK836">
        <v>1</v>
      </c>
      <c r="AL836">
        <v>150.02</v>
      </c>
      <c r="AO836" t="s">
        <v>1425</v>
      </c>
      <c r="AP836">
        <v>32000</v>
      </c>
      <c r="AV836">
        <v>15.25</v>
      </c>
      <c r="AW836" t="s">
        <v>74</v>
      </c>
    </row>
    <row r="837" spans="1:49">
      <c r="A837" s="1">
        <f>HYPERLINK("https://cms.ls-nyc.org/matter/dynamic-profile/view/1889465","19-1889465")</f>
        <v>0</v>
      </c>
      <c r="B837" t="s">
        <v>68</v>
      </c>
      <c r="C837" t="s">
        <v>82</v>
      </c>
      <c r="D837" t="s">
        <v>159</v>
      </c>
      <c r="E837" t="s">
        <v>158</v>
      </c>
      <c r="F837" t="s">
        <v>659</v>
      </c>
      <c r="G837" t="s">
        <v>1486</v>
      </c>
      <c r="H837" t="s">
        <v>3214</v>
      </c>
      <c r="I837" t="s">
        <v>4033</v>
      </c>
      <c r="J837" t="s">
        <v>4243</v>
      </c>
      <c r="K837">
        <v>11691</v>
      </c>
      <c r="L837" t="s">
        <v>4275</v>
      </c>
      <c r="M837" t="s">
        <v>4275</v>
      </c>
      <c r="O837" t="s">
        <v>4283</v>
      </c>
      <c r="P837" t="s">
        <v>5015</v>
      </c>
      <c r="Q837" t="s">
        <v>5731</v>
      </c>
      <c r="R837" t="s">
        <v>5753</v>
      </c>
      <c r="S837" t="s">
        <v>5759</v>
      </c>
      <c r="T837" t="s">
        <v>4276</v>
      </c>
      <c r="V837" t="s">
        <v>5767</v>
      </c>
      <c r="W837" t="s">
        <v>5771</v>
      </c>
      <c r="X837" t="s">
        <v>159</v>
      </c>
      <c r="Y837">
        <v>1800</v>
      </c>
      <c r="Z837" t="s">
        <v>5803</v>
      </c>
      <c r="AA837" t="s">
        <v>5808</v>
      </c>
      <c r="AB837" t="s">
        <v>5821</v>
      </c>
      <c r="AC837" t="s">
        <v>6597</v>
      </c>
      <c r="AE837" t="s">
        <v>8579</v>
      </c>
      <c r="AF837">
        <v>65</v>
      </c>
      <c r="AG837" t="s">
        <v>9270</v>
      </c>
      <c r="AH837" t="s">
        <v>4280</v>
      </c>
      <c r="AI837">
        <v>2</v>
      </c>
      <c r="AJ837">
        <v>1</v>
      </c>
      <c r="AK837">
        <v>4</v>
      </c>
      <c r="AL837">
        <v>157.02</v>
      </c>
      <c r="AO837" t="s">
        <v>1425</v>
      </c>
      <c r="AP837">
        <v>47371.65</v>
      </c>
      <c r="AV837">
        <v>1.08</v>
      </c>
      <c r="AW837" t="s">
        <v>73</v>
      </c>
    </row>
    <row r="838" spans="1:49">
      <c r="A838" s="1">
        <f>HYPERLINK("https://cms.ls-nyc.org/matter/dynamic-profile/view/1897295","19-1897295")</f>
        <v>0</v>
      </c>
      <c r="B838" t="s">
        <v>68</v>
      </c>
      <c r="C838" t="s">
        <v>82</v>
      </c>
      <c r="D838" t="s">
        <v>106</v>
      </c>
      <c r="E838" t="s">
        <v>124</v>
      </c>
      <c r="F838" t="s">
        <v>950</v>
      </c>
      <c r="G838" t="s">
        <v>2013</v>
      </c>
      <c r="H838" t="s">
        <v>2577</v>
      </c>
      <c r="I838" t="s">
        <v>4088</v>
      </c>
      <c r="J838" t="s">
        <v>4222</v>
      </c>
      <c r="K838">
        <v>11434</v>
      </c>
      <c r="L838" t="s">
        <v>4275</v>
      </c>
      <c r="M838" t="s">
        <v>4275</v>
      </c>
      <c r="N838" t="s">
        <v>4279</v>
      </c>
      <c r="O838" t="s">
        <v>4281</v>
      </c>
      <c r="P838" t="s">
        <v>5016</v>
      </c>
      <c r="Q838" t="s">
        <v>5731</v>
      </c>
      <c r="R838" t="s">
        <v>5751</v>
      </c>
      <c r="S838" t="s">
        <v>5758</v>
      </c>
      <c r="T838" t="s">
        <v>4276</v>
      </c>
      <c r="V838" t="s">
        <v>5767</v>
      </c>
      <c r="W838" t="s">
        <v>5772</v>
      </c>
      <c r="X838" t="s">
        <v>106</v>
      </c>
      <c r="Y838">
        <v>671</v>
      </c>
      <c r="Z838" t="s">
        <v>5803</v>
      </c>
      <c r="AA838" t="s">
        <v>5805</v>
      </c>
      <c r="AB838" t="s">
        <v>5823</v>
      </c>
      <c r="AC838" t="s">
        <v>6598</v>
      </c>
      <c r="AD838" t="s">
        <v>7596</v>
      </c>
      <c r="AE838" t="s">
        <v>8580</v>
      </c>
      <c r="AF838">
        <v>602</v>
      </c>
      <c r="AG838" t="s">
        <v>9271</v>
      </c>
      <c r="AH838" t="s">
        <v>4280</v>
      </c>
      <c r="AI838">
        <v>2</v>
      </c>
      <c r="AJ838">
        <v>1</v>
      </c>
      <c r="AK838">
        <v>2</v>
      </c>
      <c r="AL838">
        <v>159.32</v>
      </c>
      <c r="AO838" t="s">
        <v>1425</v>
      </c>
      <c r="AP838">
        <v>33984</v>
      </c>
      <c r="AS838" t="s">
        <v>9337</v>
      </c>
      <c r="AT838" t="s">
        <v>9369</v>
      </c>
      <c r="AU838" t="s">
        <v>9446</v>
      </c>
      <c r="AV838">
        <v>4.7</v>
      </c>
      <c r="AW838" t="s">
        <v>9555</v>
      </c>
    </row>
    <row r="839" spans="1:49">
      <c r="A839" s="1">
        <f>HYPERLINK("https://cms.ls-nyc.org/matter/dynamic-profile/view/1875714","18-1875714")</f>
        <v>0</v>
      </c>
      <c r="B839" t="s">
        <v>68</v>
      </c>
      <c r="C839" t="s">
        <v>82</v>
      </c>
      <c r="D839" t="s">
        <v>151</v>
      </c>
      <c r="E839" t="s">
        <v>151</v>
      </c>
      <c r="F839" t="s">
        <v>493</v>
      </c>
      <c r="G839" t="s">
        <v>2014</v>
      </c>
      <c r="H839" t="s">
        <v>3215</v>
      </c>
      <c r="I839" t="s">
        <v>3915</v>
      </c>
      <c r="J839" t="s">
        <v>4255</v>
      </c>
      <c r="K839">
        <v>11372</v>
      </c>
      <c r="L839" t="s">
        <v>4275</v>
      </c>
      <c r="M839" t="s">
        <v>4275</v>
      </c>
      <c r="O839" t="s">
        <v>4284</v>
      </c>
      <c r="P839" t="s">
        <v>4416</v>
      </c>
      <c r="Q839" t="s">
        <v>4698</v>
      </c>
      <c r="R839" t="s">
        <v>5753</v>
      </c>
      <c r="S839" t="s">
        <v>5759</v>
      </c>
      <c r="T839" t="s">
        <v>4276</v>
      </c>
      <c r="V839" t="s">
        <v>5767</v>
      </c>
      <c r="W839" t="s">
        <v>5772</v>
      </c>
      <c r="X839" t="s">
        <v>151</v>
      </c>
      <c r="Y839">
        <v>1117.52</v>
      </c>
      <c r="Z839" t="s">
        <v>5803</v>
      </c>
      <c r="AA839" t="s">
        <v>5815</v>
      </c>
      <c r="AB839" t="s">
        <v>5821</v>
      </c>
      <c r="AC839" t="s">
        <v>6599</v>
      </c>
      <c r="AD839" t="s">
        <v>4700</v>
      </c>
      <c r="AE839" t="s">
        <v>7289</v>
      </c>
      <c r="AF839">
        <v>20</v>
      </c>
      <c r="AG839" t="s">
        <v>9269</v>
      </c>
      <c r="AH839" t="s">
        <v>4280</v>
      </c>
      <c r="AI839">
        <v>1</v>
      </c>
      <c r="AJ839">
        <v>1</v>
      </c>
      <c r="AK839">
        <v>1</v>
      </c>
      <c r="AL839">
        <v>164.28</v>
      </c>
      <c r="AM839" t="s">
        <v>9291</v>
      </c>
      <c r="AN839" t="s">
        <v>9295</v>
      </c>
      <c r="AO839" t="s">
        <v>9298</v>
      </c>
      <c r="AP839">
        <v>27040</v>
      </c>
      <c r="AV839">
        <v>1.9</v>
      </c>
      <c r="AW839" t="s">
        <v>68</v>
      </c>
    </row>
    <row r="840" spans="1:49">
      <c r="A840" s="1">
        <f>HYPERLINK("https://cms.ls-nyc.org/matter/dynamic-profile/view/1886611","18-1886611")</f>
        <v>0</v>
      </c>
      <c r="B840" t="s">
        <v>68</v>
      </c>
      <c r="C840" t="s">
        <v>82</v>
      </c>
      <c r="D840" t="s">
        <v>189</v>
      </c>
      <c r="E840" t="s">
        <v>282</v>
      </c>
      <c r="F840" t="s">
        <v>951</v>
      </c>
      <c r="G840" t="s">
        <v>1610</v>
      </c>
      <c r="H840" t="s">
        <v>3216</v>
      </c>
      <c r="I840" t="s">
        <v>4089</v>
      </c>
      <c r="J840" t="s">
        <v>4236</v>
      </c>
      <c r="K840">
        <v>11416</v>
      </c>
      <c r="L840" t="s">
        <v>4275</v>
      </c>
      <c r="M840" t="s">
        <v>4275</v>
      </c>
      <c r="O840" t="s">
        <v>4283</v>
      </c>
      <c r="P840" t="s">
        <v>5017</v>
      </c>
      <c r="Q840" t="s">
        <v>5732</v>
      </c>
      <c r="R840" t="s">
        <v>5753</v>
      </c>
      <c r="S840" t="s">
        <v>5759</v>
      </c>
      <c r="T840" t="s">
        <v>4276</v>
      </c>
      <c r="V840" t="s">
        <v>5767</v>
      </c>
      <c r="W840" t="s">
        <v>5772</v>
      </c>
      <c r="X840" t="s">
        <v>189</v>
      </c>
      <c r="Y840">
        <v>1534</v>
      </c>
      <c r="Z840" t="s">
        <v>5803</v>
      </c>
      <c r="AA840" t="s">
        <v>5804</v>
      </c>
      <c r="AB840" t="s">
        <v>5821</v>
      </c>
      <c r="AC840" t="s">
        <v>6600</v>
      </c>
      <c r="AD840" t="s">
        <v>7597</v>
      </c>
      <c r="AE840" t="s">
        <v>8581</v>
      </c>
      <c r="AF840">
        <v>3</v>
      </c>
      <c r="AG840" t="s">
        <v>9269</v>
      </c>
      <c r="AH840" t="s">
        <v>9283</v>
      </c>
      <c r="AI840">
        <v>1</v>
      </c>
      <c r="AJ840">
        <v>2</v>
      </c>
      <c r="AK840">
        <v>1</v>
      </c>
      <c r="AL840">
        <v>171.32</v>
      </c>
      <c r="AO840" t="s">
        <v>9298</v>
      </c>
      <c r="AP840">
        <v>35600</v>
      </c>
      <c r="AV840">
        <v>1.94</v>
      </c>
      <c r="AW840" t="s">
        <v>68</v>
      </c>
    </row>
    <row r="841" spans="1:49">
      <c r="A841" s="1">
        <f>HYPERLINK("https://cms.ls-nyc.org/matter/dynamic-profile/view/1884993","18-1884993")</f>
        <v>0</v>
      </c>
      <c r="B841" t="s">
        <v>68</v>
      </c>
      <c r="C841" t="s">
        <v>82</v>
      </c>
      <c r="D841" t="s">
        <v>190</v>
      </c>
      <c r="E841" t="s">
        <v>265</v>
      </c>
      <c r="F841" t="s">
        <v>952</v>
      </c>
      <c r="G841" t="s">
        <v>2015</v>
      </c>
      <c r="H841" t="s">
        <v>3217</v>
      </c>
      <c r="I841" t="s">
        <v>3840</v>
      </c>
      <c r="J841" t="s">
        <v>4251</v>
      </c>
      <c r="K841">
        <v>11377</v>
      </c>
      <c r="L841" t="s">
        <v>4275</v>
      </c>
      <c r="M841" t="s">
        <v>4275</v>
      </c>
      <c r="O841" t="s">
        <v>4283</v>
      </c>
      <c r="P841" t="s">
        <v>5018</v>
      </c>
      <c r="Q841" t="s">
        <v>5731</v>
      </c>
      <c r="R841" t="s">
        <v>5753</v>
      </c>
      <c r="S841" t="s">
        <v>5759</v>
      </c>
      <c r="T841" t="s">
        <v>4276</v>
      </c>
      <c r="V841" t="s">
        <v>5767</v>
      </c>
      <c r="W841" t="s">
        <v>5772</v>
      </c>
      <c r="X841" t="s">
        <v>190</v>
      </c>
      <c r="Y841">
        <v>1700</v>
      </c>
      <c r="Z841" t="s">
        <v>5803</v>
      </c>
      <c r="AA841" t="s">
        <v>5804</v>
      </c>
      <c r="AB841" t="s">
        <v>5821</v>
      </c>
      <c r="AC841" t="s">
        <v>6601</v>
      </c>
      <c r="AE841" t="s">
        <v>8582</v>
      </c>
      <c r="AF841">
        <v>113</v>
      </c>
      <c r="AG841" t="s">
        <v>9272</v>
      </c>
      <c r="AH841" t="s">
        <v>4280</v>
      </c>
      <c r="AI841">
        <v>6</v>
      </c>
      <c r="AJ841">
        <v>1</v>
      </c>
      <c r="AK841">
        <v>0</v>
      </c>
      <c r="AL841">
        <v>172.98</v>
      </c>
      <c r="AO841" t="s">
        <v>1425</v>
      </c>
      <c r="AP841">
        <v>21000</v>
      </c>
      <c r="AV841">
        <v>0.9</v>
      </c>
      <c r="AW841" t="s">
        <v>73</v>
      </c>
    </row>
    <row r="842" spans="1:49">
      <c r="A842" s="1">
        <f>HYPERLINK("https://cms.ls-nyc.org/matter/dynamic-profile/view/1882273","18-1882273")</f>
        <v>0</v>
      </c>
      <c r="B842" t="s">
        <v>68</v>
      </c>
      <c r="C842" t="s">
        <v>82</v>
      </c>
      <c r="D842" t="s">
        <v>253</v>
      </c>
      <c r="E842" t="s">
        <v>268</v>
      </c>
      <c r="F842" t="s">
        <v>953</v>
      </c>
      <c r="G842" t="s">
        <v>2016</v>
      </c>
      <c r="H842" t="s">
        <v>3218</v>
      </c>
      <c r="I842" t="s">
        <v>4089</v>
      </c>
      <c r="J842" t="s">
        <v>4241</v>
      </c>
      <c r="K842">
        <v>11368</v>
      </c>
      <c r="L842" t="s">
        <v>4275</v>
      </c>
      <c r="M842" t="s">
        <v>4275</v>
      </c>
      <c r="O842" t="s">
        <v>4283</v>
      </c>
      <c r="P842" t="s">
        <v>5019</v>
      </c>
      <c r="Q842" t="s">
        <v>5732</v>
      </c>
      <c r="R842" t="s">
        <v>5753</v>
      </c>
      <c r="S842" t="s">
        <v>5759</v>
      </c>
      <c r="T842" t="s">
        <v>4276</v>
      </c>
      <c r="V842" t="s">
        <v>5767</v>
      </c>
      <c r="W842" t="s">
        <v>5774</v>
      </c>
      <c r="X842" t="s">
        <v>253</v>
      </c>
      <c r="Y842">
        <v>1360</v>
      </c>
      <c r="Z842" t="s">
        <v>5803</v>
      </c>
      <c r="AA842" t="s">
        <v>5811</v>
      </c>
      <c r="AB842" t="s">
        <v>5821</v>
      </c>
      <c r="AC842" t="s">
        <v>6602</v>
      </c>
      <c r="AE842" t="s">
        <v>8583</v>
      </c>
      <c r="AF842">
        <v>2</v>
      </c>
      <c r="AG842" t="s">
        <v>9269</v>
      </c>
      <c r="AH842" t="s">
        <v>4280</v>
      </c>
      <c r="AI842">
        <v>13</v>
      </c>
      <c r="AJ842">
        <v>2</v>
      </c>
      <c r="AK842">
        <v>1</v>
      </c>
      <c r="AL842">
        <v>178.06</v>
      </c>
      <c r="AO842" t="s">
        <v>1425</v>
      </c>
      <c r="AP842">
        <v>37000</v>
      </c>
      <c r="AV842">
        <v>0.48</v>
      </c>
      <c r="AW842" t="s">
        <v>68</v>
      </c>
    </row>
    <row r="843" spans="1:49">
      <c r="A843" s="1">
        <f>HYPERLINK("https://cms.ls-nyc.org/matter/dynamic-profile/view/1892757","19-1892757")</f>
        <v>0</v>
      </c>
      <c r="B843" t="s">
        <v>68</v>
      </c>
      <c r="C843" t="s">
        <v>83</v>
      </c>
      <c r="D843" t="s">
        <v>134</v>
      </c>
      <c r="F843" t="s">
        <v>465</v>
      </c>
      <c r="G843" t="s">
        <v>1552</v>
      </c>
      <c r="H843" t="s">
        <v>2614</v>
      </c>
      <c r="I843" t="s">
        <v>4090</v>
      </c>
      <c r="J843" t="s">
        <v>4229</v>
      </c>
      <c r="K843">
        <v>11354</v>
      </c>
      <c r="L843" t="s">
        <v>4275</v>
      </c>
      <c r="M843" t="s">
        <v>4275</v>
      </c>
      <c r="N843" t="s">
        <v>4278</v>
      </c>
      <c r="O843" t="s">
        <v>4283</v>
      </c>
      <c r="P843" t="s">
        <v>5020</v>
      </c>
      <c r="Q843" t="s">
        <v>5731</v>
      </c>
      <c r="R843" t="s">
        <v>5751</v>
      </c>
      <c r="T843" t="s">
        <v>4276</v>
      </c>
      <c r="V843" t="s">
        <v>5767</v>
      </c>
      <c r="W843" t="s">
        <v>5771</v>
      </c>
      <c r="X843" t="s">
        <v>114</v>
      </c>
      <c r="Y843">
        <v>1923.75</v>
      </c>
      <c r="Z843" t="s">
        <v>5803</v>
      </c>
      <c r="AA843" t="s">
        <v>5804</v>
      </c>
      <c r="AC843" t="s">
        <v>6603</v>
      </c>
      <c r="AD843" t="s">
        <v>7339</v>
      </c>
      <c r="AE843" t="s">
        <v>8584</v>
      </c>
      <c r="AF843">
        <v>175</v>
      </c>
      <c r="AG843" t="s">
        <v>9272</v>
      </c>
      <c r="AH843" t="s">
        <v>4280</v>
      </c>
      <c r="AI843">
        <v>2</v>
      </c>
      <c r="AJ843">
        <v>1</v>
      </c>
      <c r="AK843">
        <v>2</v>
      </c>
      <c r="AL843">
        <v>195.03</v>
      </c>
      <c r="AO843" t="s">
        <v>1425</v>
      </c>
      <c r="AP843">
        <v>41600</v>
      </c>
      <c r="AS843" t="s">
        <v>9337</v>
      </c>
      <c r="AT843" t="s">
        <v>9369</v>
      </c>
      <c r="AU843" t="s">
        <v>9445</v>
      </c>
      <c r="AV843">
        <v>6.9</v>
      </c>
      <c r="AW843" t="s">
        <v>68</v>
      </c>
    </row>
    <row r="844" spans="1:49">
      <c r="A844" s="1">
        <f>HYPERLINK("https://cms.ls-nyc.org/matter/dynamic-profile/view/1892707","19-1892707")</f>
        <v>0</v>
      </c>
      <c r="B844" t="s">
        <v>68</v>
      </c>
      <c r="C844" t="s">
        <v>83</v>
      </c>
      <c r="D844" t="s">
        <v>134</v>
      </c>
      <c r="F844" t="s">
        <v>750</v>
      </c>
      <c r="G844" t="s">
        <v>1930</v>
      </c>
      <c r="H844" t="s">
        <v>3219</v>
      </c>
      <c r="I844" t="s">
        <v>3866</v>
      </c>
      <c r="J844" t="s">
        <v>4222</v>
      </c>
      <c r="K844">
        <v>11434</v>
      </c>
      <c r="L844" t="s">
        <v>4275</v>
      </c>
      <c r="M844" t="s">
        <v>4275</v>
      </c>
      <c r="N844" t="s">
        <v>4279</v>
      </c>
      <c r="O844" t="s">
        <v>4281</v>
      </c>
      <c r="P844" t="s">
        <v>5021</v>
      </c>
      <c r="Q844" t="s">
        <v>5732</v>
      </c>
      <c r="R844" t="s">
        <v>5751</v>
      </c>
      <c r="T844" t="s">
        <v>4276</v>
      </c>
      <c r="V844" t="s">
        <v>5767</v>
      </c>
      <c r="W844" t="s">
        <v>5772</v>
      </c>
      <c r="X844" t="s">
        <v>134</v>
      </c>
      <c r="Y844">
        <v>1800</v>
      </c>
      <c r="Z844" t="s">
        <v>5803</v>
      </c>
      <c r="AA844" t="s">
        <v>5804</v>
      </c>
      <c r="AC844" t="s">
        <v>6604</v>
      </c>
      <c r="AD844" t="s">
        <v>7598</v>
      </c>
      <c r="AE844" t="s">
        <v>8585</v>
      </c>
      <c r="AF844">
        <v>1</v>
      </c>
      <c r="AG844" t="s">
        <v>9269</v>
      </c>
      <c r="AH844" t="s">
        <v>4280</v>
      </c>
      <c r="AI844">
        <v>5</v>
      </c>
      <c r="AJ844">
        <v>3</v>
      </c>
      <c r="AK844">
        <v>2</v>
      </c>
      <c r="AL844">
        <v>195.56</v>
      </c>
      <c r="AO844" t="s">
        <v>1425</v>
      </c>
      <c r="AP844">
        <v>59000</v>
      </c>
      <c r="AV844">
        <v>17.95</v>
      </c>
      <c r="AW844" t="s">
        <v>54</v>
      </c>
    </row>
    <row r="845" spans="1:49">
      <c r="A845" s="1">
        <f>HYPERLINK("https://cms.ls-nyc.org/matter/dynamic-profile/view/1882669","18-1882669")</f>
        <v>0</v>
      </c>
      <c r="B845" t="s">
        <v>68</v>
      </c>
      <c r="C845" t="s">
        <v>83</v>
      </c>
      <c r="D845" t="s">
        <v>111</v>
      </c>
      <c r="F845" t="s">
        <v>954</v>
      </c>
      <c r="G845" t="s">
        <v>2017</v>
      </c>
      <c r="H845" t="s">
        <v>3220</v>
      </c>
      <c r="I845">
        <v>1</v>
      </c>
      <c r="J845" t="s">
        <v>4243</v>
      </c>
      <c r="K845">
        <v>11691</v>
      </c>
      <c r="L845" t="s">
        <v>4275</v>
      </c>
      <c r="M845" t="s">
        <v>4275</v>
      </c>
      <c r="N845" t="s">
        <v>4278</v>
      </c>
      <c r="O845" t="s">
        <v>4283</v>
      </c>
      <c r="P845" t="s">
        <v>4700</v>
      </c>
      <c r="Q845" t="s">
        <v>4698</v>
      </c>
      <c r="R845" t="s">
        <v>5753</v>
      </c>
      <c r="T845" t="s">
        <v>4276</v>
      </c>
      <c r="V845" t="s">
        <v>5767</v>
      </c>
      <c r="W845" t="s">
        <v>5772</v>
      </c>
      <c r="X845" t="s">
        <v>196</v>
      </c>
      <c r="Y845">
        <v>1450</v>
      </c>
      <c r="Z845" t="s">
        <v>5803</v>
      </c>
      <c r="AA845" t="s">
        <v>5807</v>
      </c>
      <c r="AC845" t="s">
        <v>6605</v>
      </c>
      <c r="AD845" t="s">
        <v>7339</v>
      </c>
      <c r="AE845" t="s">
        <v>8586</v>
      </c>
      <c r="AF845">
        <v>3</v>
      </c>
      <c r="AG845" t="s">
        <v>9269</v>
      </c>
      <c r="AH845" t="s">
        <v>9282</v>
      </c>
      <c r="AI845">
        <v>4</v>
      </c>
      <c r="AJ845">
        <v>1</v>
      </c>
      <c r="AK845">
        <v>2</v>
      </c>
      <c r="AL845">
        <v>199.07</v>
      </c>
      <c r="AO845" t="s">
        <v>1425</v>
      </c>
      <c r="AP845">
        <v>41366</v>
      </c>
      <c r="AV845">
        <v>3</v>
      </c>
      <c r="AW845" t="s">
        <v>9552</v>
      </c>
    </row>
    <row r="846" spans="1:49">
      <c r="A846" s="1">
        <f>HYPERLINK("https://cms.ls-nyc.org/matter/dynamic-profile/view/1900251","19-1900251")</f>
        <v>0</v>
      </c>
      <c r="B846" t="s">
        <v>68</v>
      </c>
      <c r="C846" t="s">
        <v>83</v>
      </c>
      <c r="D846" t="s">
        <v>166</v>
      </c>
      <c r="F846" t="s">
        <v>515</v>
      </c>
      <c r="G846" t="s">
        <v>1607</v>
      </c>
      <c r="H846" t="s">
        <v>3028</v>
      </c>
      <c r="I846" t="s">
        <v>3847</v>
      </c>
      <c r="J846" t="s">
        <v>4222</v>
      </c>
      <c r="K846">
        <v>11434</v>
      </c>
      <c r="L846" t="s">
        <v>4275</v>
      </c>
      <c r="M846" t="s">
        <v>4277</v>
      </c>
      <c r="N846" t="s">
        <v>4278</v>
      </c>
      <c r="O846" t="s">
        <v>4281</v>
      </c>
      <c r="P846" t="s">
        <v>5022</v>
      </c>
      <c r="Q846" t="s">
        <v>5732</v>
      </c>
      <c r="R846" t="s">
        <v>5751</v>
      </c>
      <c r="T846" t="s">
        <v>4276</v>
      </c>
      <c r="V846" t="s">
        <v>5767</v>
      </c>
      <c r="W846" t="s">
        <v>5772</v>
      </c>
      <c r="X846" t="s">
        <v>91</v>
      </c>
      <c r="Y846">
        <v>841</v>
      </c>
      <c r="Z846" t="s">
        <v>5803</v>
      </c>
      <c r="AA846" t="s">
        <v>5805</v>
      </c>
      <c r="AC846" t="s">
        <v>6606</v>
      </c>
      <c r="AD846" t="s">
        <v>7339</v>
      </c>
      <c r="AE846" t="s">
        <v>8587</v>
      </c>
      <c r="AF846">
        <v>5860</v>
      </c>
      <c r="AG846" t="s">
        <v>9273</v>
      </c>
      <c r="AH846" t="s">
        <v>4280</v>
      </c>
      <c r="AI846">
        <v>43</v>
      </c>
      <c r="AJ846">
        <v>1</v>
      </c>
      <c r="AK846">
        <v>2</v>
      </c>
      <c r="AL846">
        <v>223.37</v>
      </c>
      <c r="AO846" t="s">
        <v>1425</v>
      </c>
      <c r="AP846">
        <v>47644</v>
      </c>
      <c r="AS846" t="s">
        <v>9337</v>
      </c>
      <c r="AT846" t="s">
        <v>9369</v>
      </c>
      <c r="AU846" t="s">
        <v>9507</v>
      </c>
      <c r="AV846">
        <v>3.5</v>
      </c>
      <c r="AW846" t="s">
        <v>68</v>
      </c>
    </row>
    <row r="847" spans="1:49">
      <c r="A847" s="1">
        <f>HYPERLINK("https://cms.ls-nyc.org/matter/dynamic-profile/view/1900487","19-1900487")</f>
        <v>0</v>
      </c>
      <c r="B847" t="s">
        <v>68</v>
      </c>
      <c r="C847" t="s">
        <v>83</v>
      </c>
      <c r="D847" t="s">
        <v>232</v>
      </c>
      <c r="F847" t="s">
        <v>515</v>
      </c>
      <c r="G847" t="s">
        <v>1607</v>
      </c>
      <c r="H847" t="s">
        <v>3028</v>
      </c>
      <c r="I847" t="s">
        <v>3847</v>
      </c>
      <c r="J847" t="s">
        <v>4222</v>
      </c>
      <c r="K847">
        <v>11434</v>
      </c>
      <c r="L847" t="s">
        <v>4275</v>
      </c>
      <c r="M847" t="s">
        <v>4277</v>
      </c>
      <c r="O847" t="s">
        <v>4281</v>
      </c>
      <c r="P847" t="s">
        <v>5023</v>
      </c>
      <c r="Q847" t="s">
        <v>5732</v>
      </c>
      <c r="R847" t="s">
        <v>5751</v>
      </c>
      <c r="T847" t="s">
        <v>4276</v>
      </c>
      <c r="V847" t="s">
        <v>5767</v>
      </c>
      <c r="W847" t="s">
        <v>5772</v>
      </c>
      <c r="X847" t="s">
        <v>91</v>
      </c>
      <c r="Y847">
        <v>841</v>
      </c>
      <c r="Z847" t="s">
        <v>5803</v>
      </c>
      <c r="AA847" t="s">
        <v>5805</v>
      </c>
      <c r="AC847" t="s">
        <v>6606</v>
      </c>
      <c r="AD847" t="s">
        <v>7339</v>
      </c>
      <c r="AE847" t="s">
        <v>8587</v>
      </c>
      <c r="AF847">
        <v>5860</v>
      </c>
      <c r="AG847" t="s">
        <v>9273</v>
      </c>
      <c r="AH847" t="s">
        <v>4280</v>
      </c>
      <c r="AI847">
        <v>43</v>
      </c>
      <c r="AJ847">
        <v>1</v>
      </c>
      <c r="AK847">
        <v>2</v>
      </c>
      <c r="AL847">
        <v>223.37</v>
      </c>
      <c r="AM847" t="s">
        <v>97</v>
      </c>
      <c r="AN847" t="s">
        <v>9293</v>
      </c>
      <c r="AO847" t="s">
        <v>1425</v>
      </c>
      <c r="AP847">
        <v>47644</v>
      </c>
      <c r="AV847">
        <v>4.65</v>
      </c>
      <c r="AW847" t="s">
        <v>68</v>
      </c>
    </row>
    <row r="848" spans="1:49">
      <c r="A848" s="1">
        <f>HYPERLINK("https://cms.ls-nyc.org/matter/dynamic-profile/view/1889884","19-1889884")</f>
        <v>0</v>
      </c>
      <c r="B848" t="s">
        <v>68</v>
      </c>
      <c r="C848" t="s">
        <v>82</v>
      </c>
      <c r="D848" t="s">
        <v>175</v>
      </c>
      <c r="E848" t="s">
        <v>175</v>
      </c>
      <c r="F848" t="s">
        <v>610</v>
      </c>
      <c r="G848" t="s">
        <v>2018</v>
      </c>
      <c r="H848" t="s">
        <v>3221</v>
      </c>
      <c r="I848" t="s">
        <v>4089</v>
      </c>
      <c r="J848" t="s">
        <v>4241</v>
      </c>
      <c r="K848">
        <v>11368</v>
      </c>
      <c r="L848" t="s">
        <v>4275</v>
      </c>
      <c r="M848" t="s">
        <v>4275</v>
      </c>
      <c r="O848" t="s">
        <v>4284</v>
      </c>
      <c r="P848" t="s">
        <v>4700</v>
      </c>
      <c r="Q848" t="s">
        <v>4698</v>
      </c>
      <c r="R848" t="s">
        <v>5753</v>
      </c>
      <c r="S848" t="s">
        <v>5759</v>
      </c>
      <c r="T848" t="s">
        <v>4276</v>
      </c>
      <c r="V848" t="s">
        <v>5767</v>
      </c>
      <c r="W848" t="s">
        <v>5772</v>
      </c>
      <c r="X848" t="s">
        <v>175</v>
      </c>
      <c r="Y848">
        <v>1620</v>
      </c>
      <c r="Z848" t="s">
        <v>5803</v>
      </c>
      <c r="AA848" t="s">
        <v>5815</v>
      </c>
      <c r="AB848" t="s">
        <v>5821</v>
      </c>
      <c r="AC848" t="s">
        <v>6607</v>
      </c>
      <c r="AE848" t="s">
        <v>8588</v>
      </c>
      <c r="AF848">
        <v>3</v>
      </c>
      <c r="AG848" t="s">
        <v>9269</v>
      </c>
      <c r="AH848" t="s">
        <v>4280</v>
      </c>
      <c r="AI848">
        <v>4</v>
      </c>
      <c r="AJ848">
        <v>1</v>
      </c>
      <c r="AK848">
        <v>2</v>
      </c>
      <c r="AL848">
        <v>237.98</v>
      </c>
      <c r="AM848" t="s">
        <v>9291</v>
      </c>
      <c r="AN848" t="s">
        <v>9295</v>
      </c>
      <c r="AO848" t="s">
        <v>1425</v>
      </c>
      <c r="AP848">
        <v>50761.38</v>
      </c>
      <c r="AV848">
        <v>1.45</v>
      </c>
      <c r="AW848" t="s">
        <v>68</v>
      </c>
    </row>
    <row r="849" spans="1:49">
      <c r="A849" s="1">
        <f>HYPERLINK("https://cms.ls-nyc.org/matter/dynamic-profile/view/1881890","18-1881890")</f>
        <v>0</v>
      </c>
      <c r="B849" t="s">
        <v>68</v>
      </c>
      <c r="C849" t="s">
        <v>82</v>
      </c>
      <c r="D849" t="s">
        <v>170</v>
      </c>
      <c r="E849" t="s">
        <v>201</v>
      </c>
      <c r="F849" t="s">
        <v>955</v>
      </c>
      <c r="G849" t="s">
        <v>2019</v>
      </c>
      <c r="H849" t="s">
        <v>3222</v>
      </c>
      <c r="I849" t="s">
        <v>3916</v>
      </c>
      <c r="J849" t="s">
        <v>4246</v>
      </c>
      <c r="K849">
        <v>11694</v>
      </c>
      <c r="L849" t="s">
        <v>4275</v>
      </c>
      <c r="M849" t="s">
        <v>4275</v>
      </c>
      <c r="O849" t="s">
        <v>4284</v>
      </c>
      <c r="P849" t="s">
        <v>4700</v>
      </c>
      <c r="Q849" t="s">
        <v>4698</v>
      </c>
      <c r="R849" t="s">
        <v>5753</v>
      </c>
      <c r="S849" t="s">
        <v>5759</v>
      </c>
      <c r="T849" t="s">
        <v>4276</v>
      </c>
      <c r="V849" t="s">
        <v>5767</v>
      </c>
      <c r="W849" t="s">
        <v>5772</v>
      </c>
      <c r="X849" t="s">
        <v>170</v>
      </c>
      <c r="Y849">
        <v>1695</v>
      </c>
      <c r="Z849" t="s">
        <v>5803</v>
      </c>
      <c r="AA849" t="s">
        <v>5815</v>
      </c>
      <c r="AB849" t="s">
        <v>5821</v>
      </c>
      <c r="AC849" t="s">
        <v>6019</v>
      </c>
      <c r="AE849" t="s">
        <v>8589</v>
      </c>
      <c r="AF849">
        <v>72</v>
      </c>
      <c r="AG849" t="s">
        <v>9270</v>
      </c>
      <c r="AH849" t="s">
        <v>4280</v>
      </c>
      <c r="AI849">
        <v>1</v>
      </c>
      <c r="AJ849">
        <v>1</v>
      </c>
      <c r="AK849">
        <v>1</v>
      </c>
      <c r="AL849">
        <v>267.31</v>
      </c>
      <c r="AM849" t="s">
        <v>9291</v>
      </c>
      <c r="AN849" t="s">
        <v>9295</v>
      </c>
      <c r="AO849" t="s">
        <v>1425</v>
      </c>
      <c r="AP849">
        <v>44000</v>
      </c>
      <c r="AV849">
        <v>1.02</v>
      </c>
      <c r="AW849" t="s">
        <v>68</v>
      </c>
    </row>
    <row r="850" spans="1:49">
      <c r="A850" s="1">
        <f>HYPERLINK("https://cms.ls-nyc.org/matter/dynamic-profile/view/1893470","19-1893470")</f>
        <v>0</v>
      </c>
      <c r="B850" t="s">
        <v>68</v>
      </c>
      <c r="C850" t="s">
        <v>82</v>
      </c>
      <c r="D850" t="s">
        <v>209</v>
      </c>
      <c r="E850" t="s">
        <v>209</v>
      </c>
      <c r="F850" t="s">
        <v>956</v>
      </c>
      <c r="G850" t="s">
        <v>1736</v>
      </c>
      <c r="H850" t="s">
        <v>2551</v>
      </c>
      <c r="I850" t="s">
        <v>4044</v>
      </c>
      <c r="J850" t="s">
        <v>4222</v>
      </c>
      <c r="K850">
        <v>11435</v>
      </c>
      <c r="L850" t="s">
        <v>4275</v>
      </c>
      <c r="M850" t="s">
        <v>4275</v>
      </c>
      <c r="O850" t="s">
        <v>4284</v>
      </c>
      <c r="P850" t="s">
        <v>4416</v>
      </c>
      <c r="Q850" t="s">
        <v>5732</v>
      </c>
      <c r="R850" t="s">
        <v>5753</v>
      </c>
      <c r="S850" t="s">
        <v>5759</v>
      </c>
      <c r="T850" t="s">
        <v>4276</v>
      </c>
      <c r="V850" t="s">
        <v>5767</v>
      </c>
      <c r="W850" t="s">
        <v>5772</v>
      </c>
      <c r="X850" t="s">
        <v>209</v>
      </c>
      <c r="Y850">
        <v>1600</v>
      </c>
      <c r="Z850" t="s">
        <v>5803</v>
      </c>
      <c r="AA850" t="s">
        <v>5815</v>
      </c>
      <c r="AB850" t="s">
        <v>5821</v>
      </c>
      <c r="AC850" t="s">
        <v>6608</v>
      </c>
      <c r="AD850" t="s">
        <v>7289</v>
      </c>
      <c r="AE850" t="s">
        <v>8590</v>
      </c>
      <c r="AF850">
        <v>252</v>
      </c>
      <c r="AG850" t="s">
        <v>9272</v>
      </c>
      <c r="AH850" t="s">
        <v>4280</v>
      </c>
      <c r="AI850">
        <v>1</v>
      </c>
      <c r="AJ850">
        <v>1</v>
      </c>
      <c r="AK850">
        <v>0</v>
      </c>
      <c r="AL850">
        <v>270.62</v>
      </c>
      <c r="AM850" t="s">
        <v>9291</v>
      </c>
      <c r="AN850" t="s">
        <v>9295</v>
      </c>
      <c r="AO850" t="s">
        <v>1425</v>
      </c>
      <c r="AP850">
        <v>33800</v>
      </c>
      <c r="AV850">
        <v>2.1</v>
      </c>
      <c r="AW850" t="s">
        <v>68</v>
      </c>
    </row>
    <row r="851" spans="1:49">
      <c r="A851" s="1">
        <f>HYPERLINK("https://cms.ls-nyc.org/matter/dynamic-profile/view/1883016","18-1883016")</f>
        <v>0</v>
      </c>
      <c r="B851" t="s">
        <v>68</v>
      </c>
      <c r="C851" t="s">
        <v>82</v>
      </c>
      <c r="D851" t="s">
        <v>223</v>
      </c>
      <c r="E851" t="s">
        <v>163</v>
      </c>
      <c r="F851" t="s">
        <v>957</v>
      </c>
      <c r="G851" t="s">
        <v>1767</v>
      </c>
      <c r="H851" t="s">
        <v>3223</v>
      </c>
      <c r="I851" t="s">
        <v>4001</v>
      </c>
      <c r="J851" t="s">
        <v>4230</v>
      </c>
      <c r="K851">
        <v>11101</v>
      </c>
      <c r="L851" t="s">
        <v>4275</v>
      </c>
      <c r="M851" t="s">
        <v>4275</v>
      </c>
      <c r="O851" t="s">
        <v>4284</v>
      </c>
      <c r="P851" t="s">
        <v>5024</v>
      </c>
      <c r="Q851" t="s">
        <v>5731</v>
      </c>
      <c r="R851" t="s">
        <v>5751</v>
      </c>
      <c r="S851" t="s">
        <v>5758</v>
      </c>
      <c r="T851" t="s">
        <v>4276</v>
      </c>
      <c r="V851" t="s">
        <v>5768</v>
      </c>
      <c r="W851" t="s">
        <v>5772</v>
      </c>
      <c r="X851" t="s">
        <v>223</v>
      </c>
      <c r="Y851">
        <v>562</v>
      </c>
      <c r="Z851" t="s">
        <v>5803</v>
      </c>
      <c r="AA851" t="s">
        <v>5815</v>
      </c>
      <c r="AB851" t="s">
        <v>5823</v>
      </c>
      <c r="AC851" t="s">
        <v>6609</v>
      </c>
      <c r="AE851" t="s">
        <v>8591</v>
      </c>
      <c r="AF851">
        <v>525</v>
      </c>
      <c r="AG851" t="s">
        <v>9271</v>
      </c>
      <c r="AH851" t="s">
        <v>9282</v>
      </c>
      <c r="AI851">
        <v>2</v>
      </c>
      <c r="AJ851">
        <v>1</v>
      </c>
      <c r="AK851">
        <v>1</v>
      </c>
      <c r="AL851">
        <v>273.39</v>
      </c>
      <c r="AM851" t="s">
        <v>9291</v>
      </c>
      <c r="AN851" t="s">
        <v>9295</v>
      </c>
      <c r="AO851" t="s">
        <v>1425</v>
      </c>
      <c r="AP851">
        <v>45000</v>
      </c>
      <c r="AR851" t="s">
        <v>9328</v>
      </c>
      <c r="AS851" t="s">
        <v>9337</v>
      </c>
      <c r="AT851" t="s">
        <v>9369</v>
      </c>
      <c r="AU851" t="s">
        <v>9388</v>
      </c>
      <c r="AV851">
        <v>13.85</v>
      </c>
      <c r="AW851" t="s">
        <v>68</v>
      </c>
    </row>
    <row r="852" spans="1:49">
      <c r="A852" s="1">
        <f>HYPERLINK("https://cms.ls-nyc.org/matter/dynamic-profile/view/1897050","19-1897050")</f>
        <v>0</v>
      </c>
      <c r="B852" t="s">
        <v>68</v>
      </c>
      <c r="C852" t="s">
        <v>83</v>
      </c>
      <c r="D852" t="s">
        <v>240</v>
      </c>
      <c r="F852" t="s">
        <v>958</v>
      </c>
      <c r="G852" t="s">
        <v>2020</v>
      </c>
      <c r="H852" t="s">
        <v>3224</v>
      </c>
      <c r="I852" t="s">
        <v>3932</v>
      </c>
      <c r="J852" t="s">
        <v>4252</v>
      </c>
      <c r="K852">
        <v>11374</v>
      </c>
      <c r="L852" t="s">
        <v>4275</v>
      </c>
      <c r="M852" t="s">
        <v>4275</v>
      </c>
      <c r="O852" t="s">
        <v>4284</v>
      </c>
      <c r="P852" t="s">
        <v>4700</v>
      </c>
      <c r="Q852" t="s">
        <v>4698</v>
      </c>
      <c r="R852" t="s">
        <v>5753</v>
      </c>
      <c r="T852" t="s">
        <v>4276</v>
      </c>
      <c r="V852" t="s">
        <v>5767</v>
      </c>
      <c r="W852" t="s">
        <v>5772</v>
      </c>
      <c r="X852" t="s">
        <v>240</v>
      </c>
      <c r="Y852">
        <v>2175</v>
      </c>
      <c r="Z852" t="s">
        <v>5803</v>
      </c>
      <c r="AA852" t="s">
        <v>5815</v>
      </c>
      <c r="AC852" t="s">
        <v>6610</v>
      </c>
      <c r="AD852" t="s">
        <v>7339</v>
      </c>
      <c r="AE852" t="s">
        <v>8592</v>
      </c>
      <c r="AF852">
        <v>181</v>
      </c>
      <c r="AG852" t="s">
        <v>9269</v>
      </c>
      <c r="AH852" t="s">
        <v>4280</v>
      </c>
      <c r="AI852">
        <v>1</v>
      </c>
      <c r="AJ852">
        <v>1</v>
      </c>
      <c r="AK852">
        <v>0</v>
      </c>
      <c r="AL852">
        <v>696.5599999999999</v>
      </c>
      <c r="AM852" t="s">
        <v>9291</v>
      </c>
      <c r="AN852" t="s">
        <v>9295</v>
      </c>
      <c r="AO852" t="s">
        <v>9298</v>
      </c>
      <c r="AP852">
        <v>87000</v>
      </c>
      <c r="AV852">
        <v>1.6</v>
      </c>
      <c r="AW852" t="s">
        <v>68</v>
      </c>
    </row>
    <row r="853" spans="1:49">
      <c r="A853" s="1">
        <f>HYPERLINK("https://cms.ls-nyc.org/matter/dynamic-profile/view/1879582","18-1879582")</f>
        <v>0</v>
      </c>
      <c r="B853" t="s">
        <v>68</v>
      </c>
      <c r="C853" t="s">
        <v>82</v>
      </c>
      <c r="D853" t="s">
        <v>128</v>
      </c>
      <c r="E853" t="s">
        <v>184</v>
      </c>
      <c r="F853" t="s">
        <v>959</v>
      </c>
      <c r="G853" t="s">
        <v>2021</v>
      </c>
      <c r="H853" t="s">
        <v>3225</v>
      </c>
      <c r="I853">
        <v>2</v>
      </c>
      <c r="J853" t="s">
        <v>4225</v>
      </c>
      <c r="K853">
        <v>11385</v>
      </c>
      <c r="L853" t="s">
        <v>4275</v>
      </c>
      <c r="M853" t="s">
        <v>4275</v>
      </c>
      <c r="O853" t="s">
        <v>4284</v>
      </c>
      <c r="P853" t="s">
        <v>4700</v>
      </c>
      <c r="Q853" t="s">
        <v>4698</v>
      </c>
      <c r="R853" t="s">
        <v>5753</v>
      </c>
      <c r="S853" t="s">
        <v>5759</v>
      </c>
      <c r="T853" t="s">
        <v>4276</v>
      </c>
      <c r="V853" t="s">
        <v>5767</v>
      </c>
      <c r="W853" t="s">
        <v>5772</v>
      </c>
      <c r="X853" t="s">
        <v>128</v>
      </c>
      <c r="Y853">
        <v>2050</v>
      </c>
      <c r="Z853" t="s">
        <v>5803</v>
      </c>
      <c r="AA853" t="s">
        <v>5815</v>
      </c>
      <c r="AB853" t="s">
        <v>5821</v>
      </c>
      <c r="AC853" t="s">
        <v>6611</v>
      </c>
      <c r="AE853" t="s">
        <v>8593</v>
      </c>
      <c r="AF853">
        <v>2</v>
      </c>
      <c r="AG853" t="s">
        <v>9269</v>
      </c>
      <c r="AH853" t="s">
        <v>4280</v>
      </c>
      <c r="AI853">
        <v>1</v>
      </c>
      <c r="AJ853">
        <v>1</v>
      </c>
      <c r="AK853">
        <v>0</v>
      </c>
      <c r="AL853">
        <v>906.1</v>
      </c>
      <c r="AM853" t="s">
        <v>9291</v>
      </c>
      <c r="AN853" t="s">
        <v>9295</v>
      </c>
      <c r="AO853" t="s">
        <v>1425</v>
      </c>
      <c r="AP853">
        <v>110000</v>
      </c>
      <c r="AV853">
        <v>2.32</v>
      </c>
      <c r="AW853" t="s">
        <v>68</v>
      </c>
    </row>
    <row r="854" spans="1:49">
      <c r="A854" s="1">
        <f>HYPERLINK("https://cms.ls-nyc.org/matter/dynamic-profile/view/1872496","18-1872496")</f>
        <v>0</v>
      </c>
      <c r="B854" t="s">
        <v>69</v>
      </c>
      <c r="C854" t="s">
        <v>82</v>
      </c>
      <c r="D854" t="s">
        <v>195</v>
      </c>
      <c r="E854" t="s">
        <v>282</v>
      </c>
      <c r="F854" t="s">
        <v>960</v>
      </c>
      <c r="G854" t="s">
        <v>1999</v>
      </c>
      <c r="H854" t="s">
        <v>3226</v>
      </c>
      <c r="I854" t="s">
        <v>4091</v>
      </c>
      <c r="J854" t="s">
        <v>4259</v>
      </c>
      <c r="K854">
        <v>11693</v>
      </c>
      <c r="L854" t="s">
        <v>4275</v>
      </c>
      <c r="M854" t="s">
        <v>4275</v>
      </c>
      <c r="O854" t="s">
        <v>4282</v>
      </c>
      <c r="P854" t="s">
        <v>5025</v>
      </c>
      <c r="Q854" t="s">
        <v>5731</v>
      </c>
      <c r="R854" t="s">
        <v>5751</v>
      </c>
      <c r="S854" t="s">
        <v>5762</v>
      </c>
      <c r="T854" t="s">
        <v>4276</v>
      </c>
      <c r="V854" t="s">
        <v>5767</v>
      </c>
      <c r="W854" t="s">
        <v>5772</v>
      </c>
      <c r="X854" t="s">
        <v>195</v>
      </c>
      <c r="Y854">
        <v>250</v>
      </c>
      <c r="Z854" t="s">
        <v>5803</v>
      </c>
      <c r="AA854" t="s">
        <v>5804</v>
      </c>
      <c r="AB854" t="s">
        <v>5823</v>
      </c>
      <c r="AC854" t="s">
        <v>6612</v>
      </c>
      <c r="AE854" t="s">
        <v>8594</v>
      </c>
      <c r="AF854">
        <v>49</v>
      </c>
      <c r="AG854" t="s">
        <v>9271</v>
      </c>
      <c r="AH854" t="s">
        <v>4280</v>
      </c>
      <c r="AI854">
        <v>2</v>
      </c>
      <c r="AJ854">
        <v>2</v>
      </c>
      <c r="AK854">
        <v>1</v>
      </c>
      <c r="AL854">
        <v>0</v>
      </c>
      <c r="AN854" t="s">
        <v>9294</v>
      </c>
      <c r="AO854" t="s">
        <v>1425</v>
      </c>
      <c r="AP854">
        <v>0</v>
      </c>
      <c r="AT854" t="s">
        <v>9369</v>
      </c>
      <c r="AU854" t="s">
        <v>9508</v>
      </c>
      <c r="AV854">
        <v>6.5</v>
      </c>
      <c r="AW854" t="s">
        <v>54</v>
      </c>
    </row>
    <row r="855" spans="1:49">
      <c r="A855" s="1">
        <f>HYPERLINK("https://cms.ls-nyc.org/matter/dynamic-profile/view/1872506","18-1872506")</f>
        <v>0</v>
      </c>
      <c r="B855" t="s">
        <v>69</v>
      </c>
      <c r="C855" t="s">
        <v>82</v>
      </c>
      <c r="D855" t="s">
        <v>195</v>
      </c>
      <c r="E855" t="s">
        <v>252</v>
      </c>
      <c r="F855" t="s">
        <v>961</v>
      </c>
      <c r="G855" t="s">
        <v>2022</v>
      </c>
      <c r="H855" t="s">
        <v>3227</v>
      </c>
      <c r="I855" t="s">
        <v>3927</v>
      </c>
      <c r="J855" t="s">
        <v>4222</v>
      </c>
      <c r="K855">
        <v>11432</v>
      </c>
      <c r="L855" t="s">
        <v>4275</v>
      </c>
      <c r="M855" t="s">
        <v>4275</v>
      </c>
      <c r="O855" t="s">
        <v>4282</v>
      </c>
      <c r="P855" t="s">
        <v>5026</v>
      </c>
      <c r="Q855" t="s">
        <v>5732</v>
      </c>
      <c r="R855" t="s">
        <v>5753</v>
      </c>
      <c r="S855" t="s">
        <v>5759</v>
      </c>
      <c r="T855" t="s">
        <v>4276</v>
      </c>
      <c r="V855" t="s">
        <v>5767</v>
      </c>
      <c r="W855" t="s">
        <v>5773</v>
      </c>
      <c r="X855" t="s">
        <v>195</v>
      </c>
      <c r="Y855">
        <v>410</v>
      </c>
      <c r="Z855" t="s">
        <v>5803</v>
      </c>
      <c r="AA855" t="s">
        <v>5804</v>
      </c>
      <c r="AB855" t="s">
        <v>5821</v>
      </c>
      <c r="AC855" t="s">
        <v>6613</v>
      </c>
      <c r="AD855" t="s">
        <v>7599</v>
      </c>
      <c r="AE855" t="s">
        <v>8595</v>
      </c>
      <c r="AF855">
        <v>2</v>
      </c>
      <c r="AG855" t="s">
        <v>9269</v>
      </c>
      <c r="AH855" t="s">
        <v>4280</v>
      </c>
      <c r="AI855">
        <v>5</v>
      </c>
      <c r="AJ855">
        <v>1</v>
      </c>
      <c r="AK855">
        <v>0</v>
      </c>
      <c r="AL855">
        <v>0</v>
      </c>
      <c r="AN855" t="s">
        <v>9294</v>
      </c>
      <c r="AO855" t="s">
        <v>1425</v>
      </c>
      <c r="AP855">
        <v>0</v>
      </c>
      <c r="AV855">
        <v>2</v>
      </c>
      <c r="AW855" t="s">
        <v>54</v>
      </c>
    </row>
    <row r="856" spans="1:49">
      <c r="A856" s="1">
        <f>HYPERLINK("https://cms.ls-nyc.org/matter/dynamic-profile/view/1893938","19-1893938")</f>
        <v>0</v>
      </c>
      <c r="B856" t="s">
        <v>69</v>
      </c>
      <c r="C856" t="s">
        <v>82</v>
      </c>
      <c r="D856" t="s">
        <v>96</v>
      </c>
      <c r="E856" t="s">
        <v>248</v>
      </c>
      <c r="F856" t="s">
        <v>962</v>
      </c>
      <c r="G856" t="s">
        <v>2023</v>
      </c>
      <c r="H856" t="s">
        <v>3228</v>
      </c>
      <c r="I856" t="s">
        <v>3866</v>
      </c>
      <c r="J856" t="s">
        <v>4249</v>
      </c>
      <c r="K856">
        <v>11429</v>
      </c>
      <c r="L856" t="s">
        <v>4275</v>
      </c>
      <c r="M856" t="s">
        <v>4275</v>
      </c>
      <c r="O856" t="s">
        <v>4282</v>
      </c>
      <c r="P856" t="s">
        <v>5027</v>
      </c>
      <c r="Q856" t="s">
        <v>5732</v>
      </c>
      <c r="R856" t="s">
        <v>5753</v>
      </c>
      <c r="S856" t="s">
        <v>5759</v>
      </c>
      <c r="T856" t="s">
        <v>4276</v>
      </c>
      <c r="V856" t="s">
        <v>5767</v>
      </c>
      <c r="X856" t="s">
        <v>96</v>
      </c>
      <c r="Y856">
        <v>1500</v>
      </c>
      <c r="Z856" t="s">
        <v>5803</v>
      </c>
      <c r="AA856" t="s">
        <v>5804</v>
      </c>
      <c r="AB856" t="s">
        <v>5821</v>
      </c>
      <c r="AC856" t="s">
        <v>6614</v>
      </c>
      <c r="AE856" t="s">
        <v>8596</v>
      </c>
      <c r="AF856">
        <v>0</v>
      </c>
      <c r="AG856" t="s">
        <v>9270</v>
      </c>
      <c r="AH856" t="s">
        <v>4280</v>
      </c>
      <c r="AI856">
        <v>5</v>
      </c>
      <c r="AJ856">
        <v>2</v>
      </c>
      <c r="AK856">
        <v>4</v>
      </c>
      <c r="AL856">
        <v>0</v>
      </c>
      <c r="AO856" t="s">
        <v>9303</v>
      </c>
      <c r="AP856">
        <v>0</v>
      </c>
      <c r="AV856">
        <v>2.05</v>
      </c>
      <c r="AW856" t="s">
        <v>54</v>
      </c>
    </row>
    <row r="857" spans="1:49">
      <c r="A857" s="1">
        <f>HYPERLINK("https://cms.ls-nyc.org/matter/dynamic-profile/view/1876282","18-1876282")</f>
        <v>0</v>
      </c>
      <c r="B857" t="s">
        <v>69</v>
      </c>
      <c r="C857" t="s">
        <v>82</v>
      </c>
      <c r="D857" t="s">
        <v>194</v>
      </c>
      <c r="E857" t="s">
        <v>248</v>
      </c>
      <c r="F857" t="s">
        <v>963</v>
      </c>
      <c r="G857" t="s">
        <v>2024</v>
      </c>
      <c r="H857" t="s">
        <v>3229</v>
      </c>
      <c r="I857">
        <v>405</v>
      </c>
      <c r="J857" t="s">
        <v>4230</v>
      </c>
      <c r="K857">
        <v>11101</v>
      </c>
      <c r="L857" t="s">
        <v>4275</v>
      </c>
      <c r="M857" t="s">
        <v>4275</v>
      </c>
      <c r="O857" t="s">
        <v>4283</v>
      </c>
      <c r="P857" t="s">
        <v>5028</v>
      </c>
      <c r="Q857" t="s">
        <v>5731</v>
      </c>
      <c r="R857" t="s">
        <v>5751</v>
      </c>
      <c r="S857" t="s">
        <v>5758</v>
      </c>
      <c r="T857" t="s">
        <v>4276</v>
      </c>
      <c r="V857" t="s">
        <v>5767</v>
      </c>
      <c r="W857" t="s">
        <v>5772</v>
      </c>
      <c r="X857" t="s">
        <v>194</v>
      </c>
      <c r="Y857">
        <v>913</v>
      </c>
      <c r="Z857" t="s">
        <v>5803</v>
      </c>
      <c r="AA857" t="s">
        <v>5804</v>
      </c>
      <c r="AB857" t="s">
        <v>5820</v>
      </c>
      <c r="AC857" t="s">
        <v>6615</v>
      </c>
      <c r="AD857" t="s">
        <v>7600</v>
      </c>
      <c r="AE857" t="s">
        <v>8597</v>
      </c>
      <c r="AF857">
        <v>143</v>
      </c>
      <c r="AG857" t="s">
        <v>9270</v>
      </c>
      <c r="AH857" t="s">
        <v>9284</v>
      </c>
      <c r="AI857">
        <v>1</v>
      </c>
      <c r="AJ857">
        <v>1</v>
      </c>
      <c r="AK857">
        <v>2</v>
      </c>
      <c r="AL857">
        <v>0</v>
      </c>
      <c r="AO857" t="s">
        <v>1425</v>
      </c>
      <c r="AP857">
        <v>0</v>
      </c>
      <c r="AR857" t="s">
        <v>9327</v>
      </c>
      <c r="AS857" t="s">
        <v>9362</v>
      </c>
      <c r="AT857" t="s">
        <v>9369</v>
      </c>
      <c r="AU857" t="s">
        <v>9407</v>
      </c>
      <c r="AV857">
        <v>24.05</v>
      </c>
      <c r="AW857" t="s">
        <v>54</v>
      </c>
    </row>
    <row r="858" spans="1:49">
      <c r="A858" s="1">
        <f>HYPERLINK("https://cms.ls-nyc.org/matter/dynamic-profile/view/1887362","19-1887362")</f>
        <v>0</v>
      </c>
      <c r="B858" t="s">
        <v>69</v>
      </c>
      <c r="C858" t="s">
        <v>82</v>
      </c>
      <c r="D858" t="s">
        <v>183</v>
      </c>
      <c r="E858" t="s">
        <v>248</v>
      </c>
      <c r="F858" t="s">
        <v>964</v>
      </c>
      <c r="G858" t="s">
        <v>2025</v>
      </c>
      <c r="H858" t="s">
        <v>3230</v>
      </c>
      <c r="I858" t="s">
        <v>3927</v>
      </c>
      <c r="J858" t="s">
        <v>4222</v>
      </c>
      <c r="K858">
        <v>11433</v>
      </c>
      <c r="L858" t="s">
        <v>4275</v>
      </c>
      <c r="M858" t="s">
        <v>4275</v>
      </c>
      <c r="O858" t="s">
        <v>4281</v>
      </c>
      <c r="P858" t="s">
        <v>5029</v>
      </c>
      <c r="Q858" t="s">
        <v>5732</v>
      </c>
      <c r="R858" t="s">
        <v>5751</v>
      </c>
      <c r="S858" t="s">
        <v>5758</v>
      </c>
      <c r="T858" t="s">
        <v>4276</v>
      </c>
      <c r="V858" t="s">
        <v>5767</v>
      </c>
      <c r="W858" t="s">
        <v>5772</v>
      </c>
      <c r="X858" t="s">
        <v>183</v>
      </c>
      <c r="Y858">
        <v>700</v>
      </c>
      <c r="Z858" t="s">
        <v>5803</v>
      </c>
      <c r="AA858" t="s">
        <v>5804</v>
      </c>
      <c r="AB858" t="s">
        <v>5822</v>
      </c>
      <c r="AC858" t="s">
        <v>6616</v>
      </c>
      <c r="AD858" t="s">
        <v>7601</v>
      </c>
      <c r="AE858" t="s">
        <v>8598</v>
      </c>
      <c r="AF858">
        <v>0</v>
      </c>
      <c r="AG858" t="s">
        <v>9270</v>
      </c>
      <c r="AH858" t="s">
        <v>4280</v>
      </c>
      <c r="AI858">
        <v>-1</v>
      </c>
      <c r="AJ858">
        <v>1</v>
      </c>
      <c r="AK858">
        <v>0</v>
      </c>
      <c r="AL858">
        <v>19.7</v>
      </c>
      <c r="AO858" t="s">
        <v>1425</v>
      </c>
      <c r="AP858">
        <v>2392</v>
      </c>
      <c r="AR858" t="s">
        <v>9329</v>
      </c>
      <c r="AS858" t="s">
        <v>9348</v>
      </c>
      <c r="AT858" t="s">
        <v>9370</v>
      </c>
      <c r="AU858" t="s">
        <v>9495</v>
      </c>
      <c r="AV858">
        <v>22.6</v>
      </c>
      <c r="AW858" t="s">
        <v>54</v>
      </c>
    </row>
    <row r="859" spans="1:49">
      <c r="A859" s="1">
        <f>HYPERLINK("https://cms.ls-nyc.org/matter/dynamic-profile/view/1885930","18-1885930")</f>
        <v>0</v>
      </c>
      <c r="B859" t="s">
        <v>69</v>
      </c>
      <c r="C859" t="s">
        <v>82</v>
      </c>
      <c r="D859" t="s">
        <v>191</v>
      </c>
      <c r="E859" t="s">
        <v>239</v>
      </c>
      <c r="F859" t="s">
        <v>734</v>
      </c>
      <c r="G859" t="s">
        <v>2026</v>
      </c>
      <c r="H859" t="s">
        <v>3231</v>
      </c>
      <c r="I859" t="s">
        <v>3867</v>
      </c>
      <c r="J859" t="s">
        <v>4268</v>
      </c>
      <c r="K859">
        <v>11378</v>
      </c>
      <c r="L859" t="s">
        <v>4275</v>
      </c>
      <c r="M859" t="s">
        <v>4275</v>
      </c>
      <c r="O859" t="s">
        <v>4282</v>
      </c>
      <c r="P859" t="s">
        <v>5030</v>
      </c>
      <c r="Q859" t="s">
        <v>5732</v>
      </c>
      <c r="R859" t="s">
        <v>5753</v>
      </c>
      <c r="S859" t="s">
        <v>5759</v>
      </c>
      <c r="T859" t="s">
        <v>4276</v>
      </c>
      <c r="V859" t="s">
        <v>5767</v>
      </c>
      <c r="W859" t="s">
        <v>5772</v>
      </c>
      <c r="X859" t="s">
        <v>191</v>
      </c>
      <c r="Y859">
        <v>0</v>
      </c>
      <c r="Z859" t="s">
        <v>5803</v>
      </c>
      <c r="AA859" t="s">
        <v>5804</v>
      </c>
      <c r="AB859" t="s">
        <v>5821</v>
      </c>
      <c r="AC859" t="s">
        <v>6617</v>
      </c>
      <c r="AD859" t="s">
        <v>7602</v>
      </c>
      <c r="AE859" t="s">
        <v>8599</v>
      </c>
      <c r="AF859">
        <v>2</v>
      </c>
      <c r="AG859" t="s">
        <v>9269</v>
      </c>
      <c r="AH859" t="s">
        <v>4280</v>
      </c>
      <c r="AI859">
        <v>35</v>
      </c>
      <c r="AJ859">
        <v>2</v>
      </c>
      <c r="AK859">
        <v>0</v>
      </c>
      <c r="AL859">
        <v>25.81</v>
      </c>
      <c r="AO859" t="s">
        <v>1425</v>
      </c>
      <c r="AP859">
        <v>4248</v>
      </c>
      <c r="AV859">
        <v>2.85</v>
      </c>
      <c r="AW859" t="s">
        <v>54</v>
      </c>
    </row>
    <row r="860" spans="1:49">
      <c r="A860" s="1">
        <f>HYPERLINK("https://cms.ls-nyc.org/matter/dynamic-profile/view/1873526","18-1873526")</f>
        <v>0</v>
      </c>
      <c r="B860" t="s">
        <v>69</v>
      </c>
      <c r="C860" t="s">
        <v>82</v>
      </c>
      <c r="D860" t="s">
        <v>143</v>
      </c>
      <c r="E860" t="s">
        <v>282</v>
      </c>
      <c r="F860" t="s">
        <v>965</v>
      </c>
      <c r="G860" t="s">
        <v>1779</v>
      </c>
      <c r="H860" t="s">
        <v>3232</v>
      </c>
      <c r="I860" t="s">
        <v>3861</v>
      </c>
      <c r="J860" t="s">
        <v>4229</v>
      </c>
      <c r="K860">
        <v>11354</v>
      </c>
      <c r="L860" t="s">
        <v>4275</v>
      </c>
      <c r="M860" t="s">
        <v>4275</v>
      </c>
      <c r="O860" t="s">
        <v>4282</v>
      </c>
      <c r="P860" t="s">
        <v>5031</v>
      </c>
      <c r="Q860" t="s">
        <v>5734</v>
      </c>
      <c r="R860" t="s">
        <v>5751</v>
      </c>
      <c r="S860" t="s">
        <v>5758</v>
      </c>
      <c r="T860" t="s">
        <v>4276</v>
      </c>
      <c r="V860" t="s">
        <v>5767</v>
      </c>
      <c r="W860" t="s">
        <v>5772</v>
      </c>
      <c r="X860" t="s">
        <v>5792</v>
      </c>
      <c r="Y860">
        <v>1079.57</v>
      </c>
      <c r="Z860" t="s">
        <v>5803</v>
      </c>
      <c r="AA860" t="s">
        <v>5807</v>
      </c>
      <c r="AB860" t="s">
        <v>5820</v>
      </c>
      <c r="AC860" t="s">
        <v>6618</v>
      </c>
      <c r="AD860" t="s">
        <v>4700</v>
      </c>
      <c r="AE860" t="s">
        <v>8600</v>
      </c>
      <c r="AF860">
        <v>10</v>
      </c>
      <c r="AG860" t="s">
        <v>9272</v>
      </c>
      <c r="AH860" t="s">
        <v>9282</v>
      </c>
      <c r="AI860">
        <v>30</v>
      </c>
      <c r="AJ860">
        <v>1</v>
      </c>
      <c r="AK860">
        <v>0</v>
      </c>
      <c r="AL860">
        <v>29.65</v>
      </c>
      <c r="AO860" t="s">
        <v>9305</v>
      </c>
      <c r="AP860">
        <v>3599.4</v>
      </c>
      <c r="AT860" t="s">
        <v>9369</v>
      </c>
      <c r="AU860" t="s">
        <v>9509</v>
      </c>
      <c r="AV860">
        <v>11.75</v>
      </c>
      <c r="AW860" t="s">
        <v>69</v>
      </c>
    </row>
    <row r="861" spans="1:49">
      <c r="A861" s="1">
        <f>HYPERLINK("https://cms.ls-nyc.org/matter/dynamic-profile/view/1875885","18-1875885")</f>
        <v>0</v>
      </c>
      <c r="B861" t="s">
        <v>69</v>
      </c>
      <c r="C861" t="s">
        <v>82</v>
      </c>
      <c r="D861" t="s">
        <v>257</v>
      </c>
      <c r="E861" t="s">
        <v>282</v>
      </c>
      <c r="F861" t="s">
        <v>753</v>
      </c>
      <c r="G861" t="s">
        <v>1821</v>
      </c>
      <c r="H861" t="s">
        <v>2990</v>
      </c>
      <c r="I861" t="s">
        <v>3934</v>
      </c>
      <c r="J861" t="s">
        <v>4227</v>
      </c>
      <c r="K861">
        <v>11365</v>
      </c>
      <c r="L861" t="s">
        <v>4275</v>
      </c>
      <c r="M861" t="s">
        <v>4275</v>
      </c>
      <c r="O861" t="s">
        <v>4284</v>
      </c>
      <c r="P861" t="s">
        <v>5032</v>
      </c>
      <c r="Q861" t="s">
        <v>5731</v>
      </c>
      <c r="R861" t="s">
        <v>5751</v>
      </c>
      <c r="S861" t="s">
        <v>5758</v>
      </c>
      <c r="T861" t="s">
        <v>4276</v>
      </c>
      <c r="V861" t="s">
        <v>5768</v>
      </c>
      <c r="W861" t="s">
        <v>5772</v>
      </c>
      <c r="X861" t="s">
        <v>257</v>
      </c>
      <c r="Y861">
        <v>521</v>
      </c>
      <c r="Z861" t="s">
        <v>5803</v>
      </c>
      <c r="AA861" t="s">
        <v>5815</v>
      </c>
      <c r="AB861" t="s">
        <v>5823</v>
      </c>
      <c r="AC861" t="s">
        <v>6335</v>
      </c>
      <c r="AD861" t="s">
        <v>7603</v>
      </c>
      <c r="AE861" t="s">
        <v>8337</v>
      </c>
      <c r="AF861">
        <v>100</v>
      </c>
      <c r="AG861" t="s">
        <v>9271</v>
      </c>
      <c r="AH861" t="s">
        <v>4280</v>
      </c>
      <c r="AI861">
        <v>13</v>
      </c>
      <c r="AJ861">
        <v>1</v>
      </c>
      <c r="AK861">
        <v>2</v>
      </c>
      <c r="AL861">
        <v>36.38</v>
      </c>
      <c r="AM861" t="s">
        <v>9291</v>
      </c>
      <c r="AN861" t="s">
        <v>9295</v>
      </c>
      <c r="AO861" t="s">
        <v>1425</v>
      </c>
      <c r="AP861">
        <v>7560</v>
      </c>
      <c r="AR861" t="s">
        <v>9329</v>
      </c>
      <c r="AS861" t="s">
        <v>9343</v>
      </c>
      <c r="AT861" t="s">
        <v>9369</v>
      </c>
      <c r="AU861" t="s">
        <v>9510</v>
      </c>
      <c r="AV861">
        <v>9.85</v>
      </c>
      <c r="AW861" t="s">
        <v>54</v>
      </c>
    </row>
    <row r="862" spans="1:49">
      <c r="A862" s="1">
        <f>HYPERLINK("https://cms.ls-nyc.org/matter/dynamic-profile/view/1874577","18-1874577")</f>
        <v>0</v>
      </c>
      <c r="B862" t="s">
        <v>69</v>
      </c>
      <c r="C862" t="s">
        <v>82</v>
      </c>
      <c r="D862" t="s">
        <v>103</v>
      </c>
      <c r="E862" t="s">
        <v>207</v>
      </c>
      <c r="F862" t="s">
        <v>966</v>
      </c>
      <c r="G862" t="s">
        <v>2027</v>
      </c>
      <c r="H862" t="s">
        <v>3233</v>
      </c>
      <c r="I862" t="s">
        <v>3927</v>
      </c>
      <c r="J862" t="s">
        <v>4252</v>
      </c>
      <c r="K862">
        <v>11374</v>
      </c>
      <c r="L862" t="s">
        <v>4275</v>
      </c>
      <c r="M862" t="s">
        <v>4275</v>
      </c>
      <c r="O862" t="s">
        <v>4282</v>
      </c>
      <c r="P862" t="s">
        <v>5033</v>
      </c>
      <c r="Q862" t="s">
        <v>5731</v>
      </c>
      <c r="R862" t="s">
        <v>5753</v>
      </c>
      <c r="S862" t="s">
        <v>5759</v>
      </c>
      <c r="T862" t="s">
        <v>4276</v>
      </c>
      <c r="V862" t="s">
        <v>5767</v>
      </c>
      <c r="W862" t="s">
        <v>5772</v>
      </c>
      <c r="X862" t="s">
        <v>103</v>
      </c>
      <c r="Y862">
        <v>1200</v>
      </c>
      <c r="Z862" t="s">
        <v>5803</v>
      </c>
      <c r="AA862" t="s">
        <v>5804</v>
      </c>
      <c r="AB862" t="s">
        <v>5821</v>
      </c>
      <c r="AC862" t="s">
        <v>6619</v>
      </c>
      <c r="AD862" t="s">
        <v>7535</v>
      </c>
      <c r="AE862" t="s">
        <v>7289</v>
      </c>
      <c r="AF862">
        <v>3</v>
      </c>
      <c r="AG862" t="s">
        <v>9269</v>
      </c>
      <c r="AH862" t="s">
        <v>4280</v>
      </c>
      <c r="AI862">
        <v>2</v>
      </c>
      <c r="AJ862">
        <v>1</v>
      </c>
      <c r="AK862">
        <v>2</v>
      </c>
      <c r="AL862">
        <v>37.54</v>
      </c>
      <c r="AN862" t="s">
        <v>9294</v>
      </c>
      <c r="AO862" t="s">
        <v>9306</v>
      </c>
      <c r="AP862">
        <v>7800</v>
      </c>
      <c r="AV862">
        <v>1.5</v>
      </c>
      <c r="AW862" t="s">
        <v>54</v>
      </c>
    </row>
    <row r="863" spans="1:49">
      <c r="A863" s="1">
        <f>HYPERLINK("https://cms.ls-nyc.org/matter/dynamic-profile/view/1881893","18-1881893")</f>
        <v>0</v>
      </c>
      <c r="B863" t="s">
        <v>69</v>
      </c>
      <c r="C863" t="s">
        <v>82</v>
      </c>
      <c r="D863" t="s">
        <v>170</v>
      </c>
      <c r="E863" t="s">
        <v>248</v>
      </c>
      <c r="F863" t="s">
        <v>967</v>
      </c>
      <c r="G863" t="s">
        <v>2028</v>
      </c>
      <c r="H863" t="s">
        <v>3234</v>
      </c>
      <c r="I863" t="s">
        <v>4092</v>
      </c>
      <c r="J863" t="s">
        <v>4233</v>
      </c>
      <c r="K863">
        <v>11375</v>
      </c>
      <c r="L863" t="s">
        <v>4275</v>
      </c>
      <c r="M863" t="s">
        <v>4275</v>
      </c>
      <c r="O863" t="s">
        <v>4283</v>
      </c>
      <c r="P863" t="s">
        <v>5034</v>
      </c>
      <c r="Q863" t="s">
        <v>5731</v>
      </c>
      <c r="R863" t="s">
        <v>5751</v>
      </c>
      <c r="S863" t="s">
        <v>5758</v>
      </c>
      <c r="T863" t="s">
        <v>4276</v>
      </c>
      <c r="V863" t="s">
        <v>5767</v>
      </c>
      <c r="W863" t="s">
        <v>5772</v>
      </c>
      <c r="X863" t="s">
        <v>190</v>
      </c>
      <c r="Y863">
        <v>1250</v>
      </c>
      <c r="Z863" t="s">
        <v>5803</v>
      </c>
      <c r="AA863" t="s">
        <v>5804</v>
      </c>
      <c r="AB863" t="s">
        <v>5820</v>
      </c>
      <c r="AC863" t="s">
        <v>6620</v>
      </c>
      <c r="AE863" t="s">
        <v>8601</v>
      </c>
      <c r="AF863">
        <v>100</v>
      </c>
      <c r="AG863" t="s">
        <v>9269</v>
      </c>
      <c r="AH863" t="s">
        <v>4280</v>
      </c>
      <c r="AI863">
        <v>8</v>
      </c>
      <c r="AJ863">
        <v>1</v>
      </c>
      <c r="AK863">
        <v>0</v>
      </c>
      <c r="AL863">
        <v>38.25</v>
      </c>
      <c r="AO863" t="s">
        <v>1425</v>
      </c>
      <c r="AP863">
        <v>4644</v>
      </c>
      <c r="AR863" t="s">
        <v>9327</v>
      </c>
      <c r="AS863" t="s">
        <v>9363</v>
      </c>
      <c r="AT863" t="s">
        <v>9369</v>
      </c>
      <c r="AU863" t="s">
        <v>9378</v>
      </c>
      <c r="AV863">
        <v>19.5</v>
      </c>
      <c r="AW863" t="s">
        <v>74</v>
      </c>
    </row>
    <row r="864" spans="1:49">
      <c r="A864" s="1">
        <f>HYPERLINK("https://cms.ls-nyc.org/matter/dynamic-profile/view/1875015","18-1875015")</f>
        <v>0</v>
      </c>
      <c r="B864" t="s">
        <v>69</v>
      </c>
      <c r="C864" t="s">
        <v>82</v>
      </c>
      <c r="D864" t="s">
        <v>118</v>
      </c>
      <c r="E864" t="s">
        <v>207</v>
      </c>
      <c r="F864" t="s">
        <v>819</v>
      </c>
      <c r="G864" t="s">
        <v>2029</v>
      </c>
      <c r="H864" t="s">
        <v>3235</v>
      </c>
      <c r="J864" t="s">
        <v>4222</v>
      </c>
      <c r="K864">
        <v>11436</v>
      </c>
      <c r="L864" t="s">
        <v>4275</v>
      </c>
      <c r="M864" t="s">
        <v>4275</v>
      </c>
      <c r="O864" t="s">
        <v>4282</v>
      </c>
      <c r="P864" t="s">
        <v>5035</v>
      </c>
      <c r="Q864" t="s">
        <v>5732</v>
      </c>
      <c r="R864" t="s">
        <v>5753</v>
      </c>
      <c r="S864" t="s">
        <v>5759</v>
      </c>
      <c r="T864" t="s">
        <v>4275</v>
      </c>
      <c r="V864" t="s">
        <v>5767</v>
      </c>
      <c r="W864" t="s">
        <v>5772</v>
      </c>
      <c r="X864" t="s">
        <v>118</v>
      </c>
      <c r="Y864">
        <v>1500</v>
      </c>
      <c r="Z864" t="s">
        <v>5803</v>
      </c>
      <c r="AA864" t="s">
        <v>5804</v>
      </c>
      <c r="AB864" t="s">
        <v>5821</v>
      </c>
      <c r="AC864" t="s">
        <v>6621</v>
      </c>
      <c r="AD864" t="s">
        <v>7604</v>
      </c>
      <c r="AE864" t="s">
        <v>8602</v>
      </c>
      <c r="AF864">
        <v>1</v>
      </c>
      <c r="AG864" t="s">
        <v>9269</v>
      </c>
      <c r="AH864" t="s">
        <v>4280</v>
      </c>
      <c r="AI864">
        <v>4</v>
      </c>
      <c r="AJ864">
        <v>6</v>
      </c>
      <c r="AK864">
        <v>4</v>
      </c>
      <c r="AL864">
        <v>39.2</v>
      </c>
      <c r="AO864" t="s">
        <v>1425</v>
      </c>
      <c r="AP864">
        <v>20000</v>
      </c>
      <c r="AV864">
        <v>0.5</v>
      </c>
      <c r="AW864" t="s">
        <v>54</v>
      </c>
    </row>
    <row r="865" spans="1:49">
      <c r="A865" s="1">
        <f>HYPERLINK("https://cms.ls-nyc.org/matter/dynamic-profile/view/1883148","18-1883148")</f>
        <v>0</v>
      </c>
      <c r="B865" t="s">
        <v>69</v>
      </c>
      <c r="C865" t="s">
        <v>82</v>
      </c>
      <c r="D865" t="s">
        <v>139</v>
      </c>
      <c r="E865" t="s">
        <v>248</v>
      </c>
      <c r="F865" t="s">
        <v>493</v>
      </c>
      <c r="G865" t="s">
        <v>2030</v>
      </c>
      <c r="H865" t="s">
        <v>3236</v>
      </c>
      <c r="J865" t="s">
        <v>4222</v>
      </c>
      <c r="K865">
        <v>11434</v>
      </c>
      <c r="L865" t="s">
        <v>4275</v>
      </c>
      <c r="M865" t="s">
        <v>4275</v>
      </c>
      <c r="O865" t="s">
        <v>4281</v>
      </c>
      <c r="P865" t="s">
        <v>5036</v>
      </c>
      <c r="Q865" t="s">
        <v>5732</v>
      </c>
      <c r="R865" t="s">
        <v>5751</v>
      </c>
      <c r="S865" t="s">
        <v>5758</v>
      </c>
      <c r="T865" t="s">
        <v>4276</v>
      </c>
      <c r="V865" t="s">
        <v>5767</v>
      </c>
      <c r="W865" t="s">
        <v>5772</v>
      </c>
      <c r="X865" t="s">
        <v>139</v>
      </c>
      <c r="Y865">
        <v>300</v>
      </c>
      <c r="Z865" t="s">
        <v>5803</v>
      </c>
      <c r="AA865" t="s">
        <v>5805</v>
      </c>
      <c r="AB865" t="s">
        <v>5820</v>
      </c>
      <c r="AC865" t="s">
        <v>6622</v>
      </c>
      <c r="AE865" t="s">
        <v>8603</v>
      </c>
      <c r="AF865">
        <v>2</v>
      </c>
      <c r="AG865" t="s">
        <v>9269</v>
      </c>
      <c r="AH865" t="s">
        <v>4280</v>
      </c>
      <c r="AI865">
        <v>1</v>
      </c>
      <c r="AJ865">
        <v>2</v>
      </c>
      <c r="AK865">
        <v>1</v>
      </c>
      <c r="AL865">
        <v>52.05</v>
      </c>
      <c r="AO865" t="s">
        <v>1425</v>
      </c>
      <c r="AP865">
        <v>10816</v>
      </c>
      <c r="AR865" t="s">
        <v>9329</v>
      </c>
      <c r="AS865" t="s">
        <v>9364</v>
      </c>
      <c r="AT865" t="s">
        <v>9369</v>
      </c>
      <c r="AU865" t="s">
        <v>9511</v>
      </c>
      <c r="AV865">
        <v>12.5</v>
      </c>
      <c r="AW865" t="s">
        <v>60</v>
      </c>
    </row>
    <row r="866" spans="1:49">
      <c r="A866" s="1">
        <f>HYPERLINK("https://cms.ls-nyc.org/matter/dynamic-profile/view/1876596","18-1876596")</f>
        <v>0</v>
      </c>
      <c r="B866" t="s">
        <v>69</v>
      </c>
      <c r="C866" t="s">
        <v>82</v>
      </c>
      <c r="D866" t="s">
        <v>178</v>
      </c>
      <c r="E866" t="s">
        <v>282</v>
      </c>
      <c r="F866" t="s">
        <v>968</v>
      </c>
      <c r="G866" t="s">
        <v>1480</v>
      </c>
      <c r="H866" t="s">
        <v>3237</v>
      </c>
      <c r="I866" t="s">
        <v>3909</v>
      </c>
      <c r="J866" t="s">
        <v>4235</v>
      </c>
      <c r="K866">
        <v>11421</v>
      </c>
      <c r="L866" t="s">
        <v>4275</v>
      </c>
      <c r="M866" t="s">
        <v>4275</v>
      </c>
      <c r="O866" t="s">
        <v>4282</v>
      </c>
      <c r="P866" t="s">
        <v>5037</v>
      </c>
      <c r="Q866" t="s">
        <v>5732</v>
      </c>
      <c r="R866" t="s">
        <v>5753</v>
      </c>
      <c r="S866" t="s">
        <v>5759</v>
      </c>
      <c r="T866" t="s">
        <v>4276</v>
      </c>
      <c r="V866" t="s">
        <v>5767</v>
      </c>
      <c r="W866" t="s">
        <v>5772</v>
      </c>
      <c r="X866" t="s">
        <v>178</v>
      </c>
      <c r="Y866">
        <v>0</v>
      </c>
      <c r="Z866" t="s">
        <v>5803</v>
      </c>
      <c r="AA866" t="s">
        <v>5804</v>
      </c>
      <c r="AB866" t="s">
        <v>5823</v>
      </c>
      <c r="AC866" t="s">
        <v>6623</v>
      </c>
      <c r="AD866" t="s">
        <v>7605</v>
      </c>
      <c r="AE866" t="s">
        <v>8604</v>
      </c>
      <c r="AF866">
        <v>3</v>
      </c>
      <c r="AG866" t="s">
        <v>9269</v>
      </c>
      <c r="AH866" t="s">
        <v>4280</v>
      </c>
      <c r="AI866">
        <v>16</v>
      </c>
      <c r="AJ866">
        <v>2</v>
      </c>
      <c r="AK866">
        <v>0</v>
      </c>
      <c r="AL866">
        <v>62.41</v>
      </c>
      <c r="AO866" t="s">
        <v>1425</v>
      </c>
      <c r="AP866">
        <v>10272</v>
      </c>
      <c r="AV866">
        <v>2</v>
      </c>
      <c r="AW866" t="s">
        <v>73</v>
      </c>
    </row>
    <row r="867" spans="1:49">
      <c r="A867" s="1">
        <f>HYPERLINK("https://cms.ls-nyc.org/matter/dynamic-profile/view/1886238","18-1886238")</f>
        <v>0</v>
      </c>
      <c r="B867" t="s">
        <v>69</v>
      </c>
      <c r="C867" t="s">
        <v>82</v>
      </c>
      <c r="D867" t="s">
        <v>182</v>
      </c>
      <c r="E867" t="s">
        <v>179</v>
      </c>
      <c r="F867" t="s">
        <v>969</v>
      </c>
      <c r="G867" t="s">
        <v>2031</v>
      </c>
      <c r="H867" t="s">
        <v>3088</v>
      </c>
      <c r="I867" t="s">
        <v>4093</v>
      </c>
      <c r="J867" t="s">
        <v>4255</v>
      </c>
      <c r="K867">
        <v>11372</v>
      </c>
      <c r="L867" t="s">
        <v>4275</v>
      </c>
      <c r="M867" t="s">
        <v>4275</v>
      </c>
      <c r="O867" t="s">
        <v>4282</v>
      </c>
      <c r="P867" t="s">
        <v>5038</v>
      </c>
      <c r="Q867" t="s">
        <v>5732</v>
      </c>
      <c r="R867" t="s">
        <v>5753</v>
      </c>
      <c r="S867" t="s">
        <v>5759</v>
      </c>
      <c r="T867" t="s">
        <v>4276</v>
      </c>
      <c r="V867" t="s">
        <v>5767</v>
      </c>
      <c r="W867" t="s">
        <v>5772</v>
      </c>
      <c r="X867" t="s">
        <v>182</v>
      </c>
      <c r="Y867">
        <v>1200</v>
      </c>
      <c r="Z867" t="s">
        <v>5803</v>
      </c>
      <c r="AA867" t="s">
        <v>5804</v>
      </c>
      <c r="AB867" t="s">
        <v>5821</v>
      </c>
      <c r="AC867" t="s">
        <v>6624</v>
      </c>
      <c r="AE867" t="s">
        <v>8605</v>
      </c>
      <c r="AF867">
        <v>101</v>
      </c>
      <c r="AG867" t="s">
        <v>9272</v>
      </c>
      <c r="AH867" t="s">
        <v>4280</v>
      </c>
      <c r="AI867">
        <v>7</v>
      </c>
      <c r="AJ867">
        <v>1</v>
      </c>
      <c r="AK867">
        <v>1</v>
      </c>
      <c r="AL867">
        <v>66.83</v>
      </c>
      <c r="AO867" t="s">
        <v>9298</v>
      </c>
      <c r="AP867">
        <v>11000</v>
      </c>
      <c r="AV867">
        <v>2.75</v>
      </c>
      <c r="AW867" t="s">
        <v>73</v>
      </c>
    </row>
    <row r="868" spans="1:49">
      <c r="A868" s="1">
        <f>HYPERLINK("https://cms.ls-nyc.org/matter/dynamic-profile/view/1891870","19-1891870")</f>
        <v>0</v>
      </c>
      <c r="B868" t="s">
        <v>69</v>
      </c>
      <c r="C868" t="s">
        <v>82</v>
      </c>
      <c r="D868" t="s">
        <v>234</v>
      </c>
      <c r="E868" t="s">
        <v>248</v>
      </c>
      <c r="F868" t="s">
        <v>461</v>
      </c>
      <c r="G868" t="s">
        <v>1450</v>
      </c>
      <c r="H868" t="s">
        <v>2639</v>
      </c>
      <c r="I868">
        <v>1</v>
      </c>
      <c r="J868" t="s">
        <v>4222</v>
      </c>
      <c r="K868">
        <v>11433</v>
      </c>
      <c r="L868" t="s">
        <v>4275</v>
      </c>
      <c r="M868" t="s">
        <v>4275</v>
      </c>
      <c r="O868" t="s">
        <v>4281</v>
      </c>
      <c r="P868" t="s">
        <v>4437</v>
      </c>
      <c r="Q868" t="s">
        <v>5732</v>
      </c>
      <c r="R868" t="s">
        <v>5751</v>
      </c>
      <c r="S868" t="s">
        <v>5760</v>
      </c>
      <c r="T868" t="s">
        <v>4276</v>
      </c>
      <c r="V868" t="s">
        <v>5767</v>
      </c>
      <c r="W868" t="s">
        <v>5774</v>
      </c>
      <c r="X868" t="s">
        <v>234</v>
      </c>
      <c r="Y868">
        <v>0</v>
      </c>
      <c r="Z868" t="s">
        <v>5803</v>
      </c>
      <c r="AA868" t="s">
        <v>5804</v>
      </c>
      <c r="AB868" t="s">
        <v>5822</v>
      </c>
      <c r="AC868" t="s">
        <v>5982</v>
      </c>
      <c r="AD868" t="s">
        <v>7351</v>
      </c>
      <c r="AE868" t="s">
        <v>7990</v>
      </c>
      <c r="AF868">
        <v>3</v>
      </c>
      <c r="AG868" t="s">
        <v>9269</v>
      </c>
      <c r="AH868" t="s">
        <v>4280</v>
      </c>
      <c r="AI868">
        <v>3</v>
      </c>
      <c r="AJ868">
        <v>3</v>
      </c>
      <c r="AK868">
        <v>2</v>
      </c>
      <c r="AL868">
        <v>76.23</v>
      </c>
      <c r="AO868" t="s">
        <v>1425</v>
      </c>
      <c r="AP868">
        <v>23000</v>
      </c>
      <c r="AR868" t="s">
        <v>9326</v>
      </c>
      <c r="AS868" t="s">
        <v>5806</v>
      </c>
      <c r="AT868" t="s">
        <v>9370</v>
      </c>
      <c r="AU868" t="s">
        <v>9453</v>
      </c>
      <c r="AV868">
        <v>5.25</v>
      </c>
      <c r="AW868" t="s">
        <v>69</v>
      </c>
    </row>
    <row r="869" spans="1:49">
      <c r="A869" s="1">
        <f>HYPERLINK("https://cms.ls-nyc.org/matter/dynamic-profile/view/1886000","18-1886000")</f>
        <v>0</v>
      </c>
      <c r="B869" t="s">
        <v>69</v>
      </c>
      <c r="C869" t="s">
        <v>82</v>
      </c>
      <c r="D869" t="s">
        <v>191</v>
      </c>
      <c r="E869" t="s">
        <v>248</v>
      </c>
      <c r="F869" t="s">
        <v>970</v>
      </c>
      <c r="G869" t="s">
        <v>1424</v>
      </c>
      <c r="H869" t="s">
        <v>3238</v>
      </c>
      <c r="I869" t="s">
        <v>4094</v>
      </c>
      <c r="J869" t="s">
        <v>4230</v>
      </c>
      <c r="K869">
        <v>11101</v>
      </c>
      <c r="L869" t="s">
        <v>4275</v>
      </c>
      <c r="M869" t="s">
        <v>4275</v>
      </c>
      <c r="O869" t="s">
        <v>4282</v>
      </c>
      <c r="P869" t="s">
        <v>5039</v>
      </c>
      <c r="Q869" t="s">
        <v>5731</v>
      </c>
      <c r="R869" t="s">
        <v>5751</v>
      </c>
      <c r="S869" t="s">
        <v>5758</v>
      </c>
      <c r="T869" t="s">
        <v>4276</v>
      </c>
      <c r="V869" t="s">
        <v>5767</v>
      </c>
      <c r="W869" t="s">
        <v>5772</v>
      </c>
      <c r="X869" t="s">
        <v>191</v>
      </c>
      <c r="Y869">
        <v>221</v>
      </c>
      <c r="Z869" t="s">
        <v>5803</v>
      </c>
      <c r="AA869" t="s">
        <v>5804</v>
      </c>
      <c r="AB869" t="s">
        <v>5820</v>
      </c>
      <c r="AC869" t="s">
        <v>6625</v>
      </c>
      <c r="AD869" t="s">
        <v>7606</v>
      </c>
      <c r="AE869" t="s">
        <v>8606</v>
      </c>
      <c r="AF869">
        <v>63</v>
      </c>
      <c r="AG869" t="s">
        <v>9271</v>
      </c>
      <c r="AH869" t="s">
        <v>4280</v>
      </c>
      <c r="AI869">
        <v>1</v>
      </c>
      <c r="AJ869">
        <v>1</v>
      </c>
      <c r="AK869">
        <v>0</v>
      </c>
      <c r="AL869">
        <v>77.09999999999999</v>
      </c>
      <c r="AO869" t="s">
        <v>1425</v>
      </c>
      <c r="AP869">
        <v>9360</v>
      </c>
      <c r="AS869" t="s">
        <v>9336</v>
      </c>
      <c r="AT869" t="s">
        <v>9369</v>
      </c>
      <c r="AU869" t="s">
        <v>9512</v>
      </c>
      <c r="AV869">
        <v>17.85</v>
      </c>
      <c r="AW869" t="s">
        <v>73</v>
      </c>
    </row>
    <row r="870" spans="1:49">
      <c r="A870" s="1">
        <f>HYPERLINK("https://cms.ls-nyc.org/matter/dynamic-profile/view/1886570","18-1886570")</f>
        <v>0</v>
      </c>
      <c r="B870" t="s">
        <v>69</v>
      </c>
      <c r="C870" t="s">
        <v>82</v>
      </c>
      <c r="D870" t="s">
        <v>189</v>
      </c>
      <c r="E870" t="s">
        <v>248</v>
      </c>
      <c r="F870" t="s">
        <v>971</v>
      </c>
      <c r="G870" t="s">
        <v>1641</v>
      </c>
      <c r="H870" t="s">
        <v>3239</v>
      </c>
      <c r="I870">
        <v>2</v>
      </c>
      <c r="J870" t="s">
        <v>4225</v>
      </c>
      <c r="K870">
        <v>11385</v>
      </c>
      <c r="L870" t="s">
        <v>4275</v>
      </c>
      <c r="M870" t="s">
        <v>4275</v>
      </c>
      <c r="O870" t="s">
        <v>4281</v>
      </c>
      <c r="P870" t="s">
        <v>5040</v>
      </c>
      <c r="Q870" t="s">
        <v>5731</v>
      </c>
      <c r="R870" t="s">
        <v>5751</v>
      </c>
      <c r="S870" t="s">
        <v>5758</v>
      </c>
      <c r="T870" t="s">
        <v>4276</v>
      </c>
      <c r="V870" t="s">
        <v>5767</v>
      </c>
      <c r="W870" t="s">
        <v>5771</v>
      </c>
      <c r="X870" t="s">
        <v>116</v>
      </c>
      <c r="Y870">
        <v>2000</v>
      </c>
      <c r="Z870" t="s">
        <v>5803</v>
      </c>
      <c r="AA870" t="s">
        <v>5804</v>
      </c>
      <c r="AB870" t="s">
        <v>5820</v>
      </c>
      <c r="AC870" t="s">
        <v>6626</v>
      </c>
      <c r="AD870" t="s">
        <v>7607</v>
      </c>
      <c r="AE870" t="s">
        <v>8607</v>
      </c>
      <c r="AF870">
        <v>0</v>
      </c>
      <c r="AG870" t="s">
        <v>9270</v>
      </c>
      <c r="AH870" t="s">
        <v>4280</v>
      </c>
      <c r="AI870">
        <v>2</v>
      </c>
      <c r="AJ870">
        <v>1</v>
      </c>
      <c r="AK870">
        <v>3</v>
      </c>
      <c r="AL870">
        <v>79.68000000000001</v>
      </c>
      <c r="AO870" t="s">
        <v>1425</v>
      </c>
      <c r="AP870">
        <v>20000</v>
      </c>
      <c r="AS870" t="s">
        <v>9336</v>
      </c>
      <c r="AT870" t="s">
        <v>9369</v>
      </c>
      <c r="AU870" t="s">
        <v>9422</v>
      </c>
      <c r="AV870">
        <v>10.85</v>
      </c>
      <c r="AW870" t="s">
        <v>54</v>
      </c>
    </row>
    <row r="871" spans="1:49">
      <c r="A871" s="1">
        <f>HYPERLINK("https://cms.ls-nyc.org/matter/dynamic-profile/view/1873145","18-1873145")</f>
        <v>0</v>
      </c>
      <c r="B871" t="s">
        <v>69</v>
      </c>
      <c r="C871" t="s">
        <v>82</v>
      </c>
      <c r="D871" t="s">
        <v>133</v>
      </c>
      <c r="E871" t="s">
        <v>207</v>
      </c>
      <c r="F871" t="s">
        <v>613</v>
      </c>
      <c r="G871" t="s">
        <v>2032</v>
      </c>
      <c r="H871" t="s">
        <v>3240</v>
      </c>
      <c r="J871" t="s">
        <v>4265</v>
      </c>
      <c r="K871">
        <v>11357</v>
      </c>
      <c r="L871" t="s">
        <v>4275</v>
      </c>
      <c r="M871" t="s">
        <v>4275</v>
      </c>
      <c r="O871" t="s">
        <v>4282</v>
      </c>
      <c r="P871" t="s">
        <v>5041</v>
      </c>
      <c r="Q871" t="s">
        <v>5732</v>
      </c>
      <c r="R871" t="s">
        <v>5753</v>
      </c>
      <c r="S871" t="s">
        <v>5759</v>
      </c>
      <c r="T871" t="s">
        <v>4276</v>
      </c>
      <c r="V871" t="s">
        <v>5767</v>
      </c>
      <c r="W871" t="s">
        <v>5772</v>
      </c>
      <c r="X871" t="s">
        <v>133</v>
      </c>
      <c r="Y871">
        <v>2600</v>
      </c>
      <c r="Z871" t="s">
        <v>5803</v>
      </c>
      <c r="AA871" t="s">
        <v>5804</v>
      </c>
      <c r="AB871" t="s">
        <v>5821</v>
      </c>
      <c r="AC871" t="s">
        <v>6627</v>
      </c>
      <c r="AD871" t="s">
        <v>7608</v>
      </c>
      <c r="AE871" t="s">
        <v>8608</v>
      </c>
      <c r="AF871">
        <v>1</v>
      </c>
      <c r="AG871" t="s">
        <v>9269</v>
      </c>
      <c r="AH871" t="s">
        <v>4280</v>
      </c>
      <c r="AI871">
        <v>1</v>
      </c>
      <c r="AJ871">
        <v>2</v>
      </c>
      <c r="AK871">
        <v>5</v>
      </c>
      <c r="AL871">
        <v>95.56999999999999</v>
      </c>
      <c r="AO871" t="s">
        <v>1425</v>
      </c>
      <c r="AP871">
        <v>36374</v>
      </c>
      <c r="AV871">
        <v>1.25</v>
      </c>
      <c r="AW871" t="s">
        <v>54</v>
      </c>
    </row>
    <row r="872" spans="1:49">
      <c r="A872" s="1">
        <f>HYPERLINK("https://cms.ls-nyc.org/matter/dynamic-profile/view/1875024","18-1875024")</f>
        <v>0</v>
      </c>
      <c r="B872" t="s">
        <v>69</v>
      </c>
      <c r="C872" t="s">
        <v>82</v>
      </c>
      <c r="D872" t="s">
        <v>118</v>
      </c>
      <c r="E872" t="s">
        <v>282</v>
      </c>
      <c r="F872" t="s">
        <v>972</v>
      </c>
      <c r="G872" t="s">
        <v>2033</v>
      </c>
      <c r="H872" t="s">
        <v>3241</v>
      </c>
      <c r="I872" t="s">
        <v>3868</v>
      </c>
      <c r="J872" t="s">
        <v>4245</v>
      </c>
      <c r="K872">
        <v>11418</v>
      </c>
      <c r="L872" t="s">
        <v>4275</v>
      </c>
      <c r="M872" t="s">
        <v>4275</v>
      </c>
      <c r="O872" t="s">
        <v>4282</v>
      </c>
      <c r="P872" t="s">
        <v>5042</v>
      </c>
      <c r="Q872" t="s">
        <v>5732</v>
      </c>
      <c r="R872" t="s">
        <v>5751</v>
      </c>
      <c r="S872" t="s">
        <v>5762</v>
      </c>
      <c r="T872" t="s">
        <v>4276</v>
      </c>
      <c r="V872" t="s">
        <v>5767</v>
      </c>
      <c r="W872" t="s">
        <v>5772</v>
      </c>
      <c r="X872" t="s">
        <v>5793</v>
      </c>
      <c r="Y872">
        <v>984.42</v>
      </c>
      <c r="Z872" t="s">
        <v>5803</v>
      </c>
      <c r="AA872" t="s">
        <v>5804</v>
      </c>
      <c r="AB872" t="s">
        <v>5820</v>
      </c>
      <c r="AC872" t="s">
        <v>6628</v>
      </c>
      <c r="AE872" t="s">
        <v>8609</v>
      </c>
      <c r="AF872">
        <v>16</v>
      </c>
      <c r="AG872" t="s">
        <v>9270</v>
      </c>
      <c r="AH872" t="s">
        <v>4280</v>
      </c>
      <c r="AI872">
        <v>23</v>
      </c>
      <c r="AJ872">
        <v>3</v>
      </c>
      <c r="AK872">
        <v>0</v>
      </c>
      <c r="AL872">
        <v>96.25</v>
      </c>
      <c r="AO872" t="s">
        <v>9301</v>
      </c>
      <c r="AP872">
        <v>20000</v>
      </c>
      <c r="AT872" t="s">
        <v>9369</v>
      </c>
      <c r="AU872" t="s">
        <v>9451</v>
      </c>
      <c r="AV872">
        <v>8.5</v>
      </c>
      <c r="AW872" t="s">
        <v>54</v>
      </c>
    </row>
    <row r="873" spans="1:49">
      <c r="A873" s="1">
        <f>HYPERLINK("https://cms.ls-nyc.org/matter/dynamic-profile/view/1874555","18-1874555")</f>
        <v>0</v>
      </c>
      <c r="B873" t="s">
        <v>69</v>
      </c>
      <c r="C873" t="s">
        <v>82</v>
      </c>
      <c r="D873" t="s">
        <v>103</v>
      </c>
      <c r="E873" t="s">
        <v>182</v>
      </c>
      <c r="F873" t="s">
        <v>973</v>
      </c>
      <c r="G873" t="s">
        <v>699</v>
      </c>
      <c r="H873" t="s">
        <v>2638</v>
      </c>
      <c r="I873" t="s">
        <v>4095</v>
      </c>
      <c r="J873" t="s">
        <v>4243</v>
      </c>
      <c r="K873">
        <v>11691</v>
      </c>
      <c r="L873" t="s">
        <v>4276</v>
      </c>
      <c r="M873" t="s">
        <v>4276</v>
      </c>
      <c r="O873" t="s">
        <v>4283</v>
      </c>
      <c r="P873" t="s">
        <v>5043</v>
      </c>
      <c r="Q873" t="s">
        <v>5731</v>
      </c>
      <c r="R873" t="s">
        <v>5751</v>
      </c>
      <c r="S873" t="s">
        <v>5758</v>
      </c>
      <c r="T873" t="s">
        <v>4276</v>
      </c>
      <c r="V873" t="s">
        <v>5767</v>
      </c>
      <c r="W873" t="s">
        <v>5772</v>
      </c>
      <c r="Y873">
        <v>498</v>
      </c>
      <c r="Z873" t="s">
        <v>5803</v>
      </c>
      <c r="AA873" t="s">
        <v>5804</v>
      </c>
      <c r="AB873" t="s">
        <v>5820</v>
      </c>
      <c r="AC873" t="s">
        <v>6629</v>
      </c>
      <c r="AE873" t="s">
        <v>8610</v>
      </c>
      <c r="AF873">
        <v>150</v>
      </c>
      <c r="AG873" t="s">
        <v>9278</v>
      </c>
      <c r="AH873" t="s">
        <v>9282</v>
      </c>
      <c r="AI873">
        <v>23</v>
      </c>
      <c r="AJ873">
        <v>3</v>
      </c>
      <c r="AK873">
        <v>0</v>
      </c>
      <c r="AL873">
        <v>97.8</v>
      </c>
      <c r="AO873" t="s">
        <v>1425</v>
      </c>
      <c r="AP873">
        <v>20322</v>
      </c>
      <c r="AV873">
        <v>10.1</v>
      </c>
      <c r="AW873" t="s">
        <v>54</v>
      </c>
    </row>
    <row r="874" spans="1:49">
      <c r="A874" s="1">
        <f>HYPERLINK("https://cms.ls-nyc.org/matter/dynamic-profile/view/1872436","18-1872436")</f>
        <v>0</v>
      </c>
      <c r="B874" t="s">
        <v>69</v>
      </c>
      <c r="C874" t="s">
        <v>82</v>
      </c>
      <c r="D874" t="s">
        <v>195</v>
      </c>
      <c r="E874" t="s">
        <v>258</v>
      </c>
      <c r="F874" t="s">
        <v>974</v>
      </c>
      <c r="G874" t="s">
        <v>2034</v>
      </c>
      <c r="H874" t="s">
        <v>3242</v>
      </c>
      <c r="I874" t="s">
        <v>3927</v>
      </c>
      <c r="J874" t="s">
        <v>4241</v>
      </c>
      <c r="K874">
        <v>11368</v>
      </c>
      <c r="L874" t="s">
        <v>4275</v>
      </c>
      <c r="M874" t="s">
        <v>4275</v>
      </c>
      <c r="O874" t="s">
        <v>4282</v>
      </c>
      <c r="P874" t="s">
        <v>5044</v>
      </c>
      <c r="Q874" t="s">
        <v>5732</v>
      </c>
      <c r="R874" t="s">
        <v>5753</v>
      </c>
      <c r="S874" t="s">
        <v>5759</v>
      </c>
      <c r="T874" t="s">
        <v>4276</v>
      </c>
      <c r="V874" t="s">
        <v>5767</v>
      </c>
      <c r="W874" t="s">
        <v>5773</v>
      </c>
      <c r="X874" t="s">
        <v>5792</v>
      </c>
      <c r="Y874">
        <v>1200</v>
      </c>
      <c r="Z874" t="s">
        <v>5803</v>
      </c>
      <c r="AA874" t="s">
        <v>5804</v>
      </c>
      <c r="AB874" t="s">
        <v>5821</v>
      </c>
      <c r="AC874" t="s">
        <v>6630</v>
      </c>
      <c r="AD874" t="s">
        <v>7535</v>
      </c>
      <c r="AE874" t="s">
        <v>8611</v>
      </c>
      <c r="AF874">
        <v>2</v>
      </c>
      <c r="AG874" t="s">
        <v>9272</v>
      </c>
      <c r="AH874" t="s">
        <v>4280</v>
      </c>
      <c r="AI874">
        <v>2</v>
      </c>
      <c r="AJ874">
        <v>2</v>
      </c>
      <c r="AK874">
        <v>0</v>
      </c>
      <c r="AL874">
        <v>99.51000000000001</v>
      </c>
      <c r="AN874" t="s">
        <v>9294</v>
      </c>
      <c r="AO874" t="s">
        <v>1425</v>
      </c>
      <c r="AP874">
        <v>16380</v>
      </c>
      <c r="AV874">
        <v>1.25</v>
      </c>
      <c r="AW874" t="s">
        <v>54</v>
      </c>
    </row>
    <row r="875" spans="1:49">
      <c r="A875" s="1">
        <f>HYPERLINK("https://cms.ls-nyc.org/matter/dynamic-profile/view/1883319","18-1883319")</f>
        <v>0</v>
      </c>
      <c r="B875" t="s">
        <v>69</v>
      </c>
      <c r="C875" t="s">
        <v>82</v>
      </c>
      <c r="D875" t="s">
        <v>145</v>
      </c>
      <c r="E875" t="s">
        <v>207</v>
      </c>
      <c r="F875" t="s">
        <v>975</v>
      </c>
      <c r="G875" t="s">
        <v>2035</v>
      </c>
      <c r="H875" t="s">
        <v>3243</v>
      </c>
      <c r="I875" t="s">
        <v>3866</v>
      </c>
      <c r="J875" t="s">
        <v>4250</v>
      </c>
      <c r="K875">
        <v>11412</v>
      </c>
      <c r="L875" t="s">
        <v>4275</v>
      </c>
      <c r="M875" t="s">
        <v>4275</v>
      </c>
      <c r="O875" t="s">
        <v>4282</v>
      </c>
      <c r="P875" t="s">
        <v>5045</v>
      </c>
      <c r="Q875" t="s">
        <v>5732</v>
      </c>
      <c r="R875" t="s">
        <v>5753</v>
      </c>
      <c r="S875" t="s">
        <v>5759</v>
      </c>
      <c r="T875" t="s">
        <v>4276</v>
      </c>
      <c r="V875" t="s">
        <v>5767</v>
      </c>
      <c r="W875" t="s">
        <v>5771</v>
      </c>
      <c r="X875" t="s">
        <v>145</v>
      </c>
      <c r="Y875">
        <v>600</v>
      </c>
      <c r="Z875" t="s">
        <v>5803</v>
      </c>
      <c r="AA875" t="s">
        <v>5804</v>
      </c>
      <c r="AB875" t="s">
        <v>5821</v>
      </c>
      <c r="AC875" t="s">
        <v>6631</v>
      </c>
      <c r="AD875" t="s">
        <v>7609</v>
      </c>
      <c r="AE875" t="s">
        <v>8612</v>
      </c>
      <c r="AF875">
        <v>6</v>
      </c>
      <c r="AG875" t="s">
        <v>9269</v>
      </c>
      <c r="AH875" t="s">
        <v>4280</v>
      </c>
      <c r="AI875">
        <v>11</v>
      </c>
      <c r="AJ875">
        <v>1</v>
      </c>
      <c r="AK875">
        <v>0</v>
      </c>
      <c r="AL875">
        <v>111.37</v>
      </c>
      <c r="AO875" t="s">
        <v>1425</v>
      </c>
      <c r="AP875">
        <v>13520</v>
      </c>
      <c r="AV875">
        <v>2.6</v>
      </c>
      <c r="AW875" t="s">
        <v>54</v>
      </c>
    </row>
    <row r="876" spans="1:49">
      <c r="A876" s="1">
        <f>HYPERLINK("https://cms.ls-nyc.org/matter/dynamic-profile/view/1876885","18-1876885")</f>
        <v>0</v>
      </c>
      <c r="B876" t="s">
        <v>69</v>
      </c>
      <c r="C876" t="s">
        <v>82</v>
      </c>
      <c r="D876" t="s">
        <v>120</v>
      </c>
      <c r="E876" t="s">
        <v>252</v>
      </c>
      <c r="F876" t="s">
        <v>976</v>
      </c>
      <c r="G876" t="s">
        <v>2036</v>
      </c>
      <c r="H876" t="s">
        <v>3244</v>
      </c>
      <c r="I876" t="s">
        <v>3856</v>
      </c>
      <c r="J876" t="s">
        <v>4236</v>
      </c>
      <c r="K876">
        <v>11416</v>
      </c>
      <c r="L876" t="s">
        <v>4275</v>
      </c>
      <c r="M876" t="s">
        <v>4275</v>
      </c>
      <c r="O876" t="s">
        <v>4282</v>
      </c>
      <c r="P876" t="s">
        <v>5046</v>
      </c>
      <c r="Q876" t="s">
        <v>5732</v>
      </c>
      <c r="R876" t="s">
        <v>5753</v>
      </c>
      <c r="S876" t="s">
        <v>5759</v>
      </c>
      <c r="T876" t="s">
        <v>5765</v>
      </c>
      <c r="V876" t="s">
        <v>5767</v>
      </c>
      <c r="W876" t="s">
        <v>5772</v>
      </c>
      <c r="X876" t="s">
        <v>120</v>
      </c>
      <c r="Y876">
        <v>1250</v>
      </c>
      <c r="Z876" t="s">
        <v>5803</v>
      </c>
      <c r="AA876" t="s">
        <v>5804</v>
      </c>
      <c r="AB876" t="s">
        <v>5821</v>
      </c>
      <c r="AC876" t="s">
        <v>6632</v>
      </c>
      <c r="AE876" t="s">
        <v>8613</v>
      </c>
      <c r="AF876">
        <v>2</v>
      </c>
      <c r="AG876" t="s">
        <v>9269</v>
      </c>
      <c r="AH876" t="s">
        <v>4280</v>
      </c>
      <c r="AI876">
        <v>2</v>
      </c>
      <c r="AJ876">
        <v>1</v>
      </c>
      <c r="AK876">
        <v>2</v>
      </c>
      <c r="AL876">
        <v>115.98</v>
      </c>
      <c r="AO876" t="s">
        <v>1425</v>
      </c>
      <c r="AP876">
        <v>24100</v>
      </c>
      <c r="AV876">
        <v>1.25</v>
      </c>
      <c r="AW876" t="s">
        <v>74</v>
      </c>
    </row>
    <row r="877" spans="1:49">
      <c r="A877" s="1">
        <f>HYPERLINK("https://cms.ls-nyc.org/matter/dynamic-profile/view/1881323","18-1881323")</f>
        <v>0</v>
      </c>
      <c r="B877" t="s">
        <v>69</v>
      </c>
      <c r="C877" t="s">
        <v>82</v>
      </c>
      <c r="D877" t="s">
        <v>150</v>
      </c>
      <c r="E877" t="s">
        <v>248</v>
      </c>
      <c r="F877" t="s">
        <v>977</v>
      </c>
      <c r="G877" t="s">
        <v>2037</v>
      </c>
      <c r="H877" t="s">
        <v>3003</v>
      </c>
      <c r="I877" t="s">
        <v>4096</v>
      </c>
      <c r="J877" t="s">
        <v>4230</v>
      </c>
      <c r="K877">
        <v>11101</v>
      </c>
      <c r="L877" t="s">
        <v>4275</v>
      </c>
      <c r="M877" t="s">
        <v>4275</v>
      </c>
      <c r="O877" t="s">
        <v>4283</v>
      </c>
      <c r="P877" t="s">
        <v>5047</v>
      </c>
      <c r="Q877" t="s">
        <v>5731</v>
      </c>
      <c r="R877" t="s">
        <v>5751</v>
      </c>
      <c r="S877" t="s">
        <v>5758</v>
      </c>
      <c r="T877" t="s">
        <v>4276</v>
      </c>
      <c r="V877" t="s">
        <v>5767</v>
      </c>
      <c r="W877" t="s">
        <v>5772</v>
      </c>
      <c r="X877" t="s">
        <v>150</v>
      </c>
      <c r="Y877">
        <v>1500</v>
      </c>
      <c r="Z877" t="s">
        <v>5803</v>
      </c>
      <c r="AA877" t="s">
        <v>5804</v>
      </c>
      <c r="AB877" t="s">
        <v>5820</v>
      </c>
      <c r="AC877" t="s">
        <v>6633</v>
      </c>
      <c r="AD877" t="s">
        <v>7610</v>
      </c>
      <c r="AE877" t="s">
        <v>8614</v>
      </c>
      <c r="AF877">
        <v>974</v>
      </c>
      <c r="AG877" t="s">
        <v>9270</v>
      </c>
      <c r="AH877" t="s">
        <v>9288</v>
      </c>
      <c r="AI877">
        <v>1</v>
      </c>
      <c r="AJ877">
        <v>2</v>
      </c>
      <c r="AK877">
        <v>0</v>
      </c>
      <c r="AL877">
        <v>122.04</v>
      </c>
      <c r="AO877" t="s">
        <v>1425</v>
      </c>
      <c r="AP877">
        <v>20088</v>
      </c>
      <c r="AR877" t="s">
        <v>9327</v>
      </c>
      <c r="AS877" t="s">
        <v>9343</v>
      </c>
      <c r="AT877" t="s">
        <v>9369</v>
      </c>
      <c r="AU877" t="s">
        <v>9513</v>
      </c>
      <c r="AV877">
        <v>9.9</v>
      </c>
      <c r="AW877" t="s">
        <v>73</v>
      </c>
    </row>
    <row r="878" spans="1:49">
      <c r="A878" s="1">
        <f>HYPERLINK("https://cms.ls-nyc.org/matter/dynamic-profile/view/1884786","18-1884786")</f>
        <v>0</v>
      </c>
      <c r="B878" t="s">
        <v>69</v>
      </c>
      <c r="C878" t="s">
        <v>82</v>
      </c>
      <c r="D878" t="s">
        <v>108</v>
      </c>
      <c r="E878" t="s">
        <v>248</v>
      </c>
      <c r="F878" t="s">
        <v>344</v>
      </c>
      <c r="G878" t="s">
        <v>1703</v>
      </c>
      <c r="H878" t="s">
        <v>2847</v>
      </c>
      <c r="I878" t="s">
        <v>3942</v>
      </c>
      <c r="J878" t="s">
        <v>4240</v>
      </c>
      <c r="K878">
        <v>11373</v>
      </c>
      <c r="L878" t="s">
        <v>4275</v>
      </c>
      <c r="M878" t="s">
        <v>4277</v>
      </c>
      <c r="O878" t="s">
        <v>4281</v>
      </c>
      <c r="P878" t="s">
        <v>5048</v>
      </c>
      <c r="Q878" t="s">
        <v>5732</v>
      </c>
      <c r="R878" t="s">
        <v>5751</v>
      </c>
      <c r="S878" t="s">
        <v>5758</v>
      </c>
      <c r="T878" t="s">
        <v>4275</v>
      </c>
      <c r="V878" t="s">
        <v>5767</v>
      </c>
      <c r="X878" t="s">
        <v>144</v>
      </c>
      <c r="Y878">
        <v>1350</v>
      </c>
      <c r="Z878" t="s">
        <v>5803</v>
      </c>
      <c r="AA878" t="s">
        <v>5805</v>
      </c>
      <c r="AB878" t="s">
        <v>5820</v>
      </c>
      <c r="AC878" t="s">
        <v>6634</v>
      </c>
      <c r="AD878" t="s">
        <v>4700</v>
      </c>
      <c r="AE878" t="s">
        <v>8615</v>
      </c>
      <c r="AF878">
        <v>30</v>
      </c>
      <c r="AG878" t="s">
        <v>9269</v>
      </c>
      <c r="AI878">
        <v>8</v>
      </c>
      <c r="AJ878">
        <v>3</v>
      </c>
      <c r="AK878">
        <v>2</v>
      </c>
      <c r="AL878">
        <v>122.37</v>
      </c>
      <c r="AO878" t="s">
        <v>1425</v>
      </c>
      <c r="AP878">
        <v>36000</v>
      </c>
      <c r="AS878" t="s">
        <v>9336</v>
      </c>
      <c r="AT878" t="s">
        <v>9369</v>
      </c>
      <c r="AU878" t="s">
        <v>9514</v>
      </c>
      <c r="AV878">
        <v>2.5</v>
      </c>
      <c r="AW878" t="s">
        <v>60</v>
      </c>
    </row>
    <row r="879" spans="1:49">
      <c r="A879" s="1">
        <f>HYPERLINK("https://cms.ls-nyc.org/matter/dynamic-profile/view/1887932","19-1887932")</f>
        <v>0</v>
      </c>
      <c r="B879" t="s">
        <v>69</v>
      </c>
      <c r="C879" t="s">
        <v>82</v>
      </c>
      <c r="D879" t="s">
        <v>258</v>
      </c>
      <c r="E879" t="s">
        <v>179</v>
      </c>
      <c r="F879" t="s">
        <v>978</v>
      </c>
      <c r="G879" t="s">
        <v>2038</v>
      </c>
      <c r="H879" t="s">
        <v>3245</v>
      </c>
      <c r="J879" t="s">
        <v>4229</v>
      </c>
      <c r="K879">
        <v>11367</v>
      </c>
      <c r="L879" t="s">
        <v>4275</v>
      </c>
      <c r="M879" t="s">
        <v>4275</v>
      </c>
      <c r="O879" t="s">
        <v>4282</v>
      </c>
      <c r="P879" t="s">
        <v>5049</v>
      </c>
      <c r="Q879" t="s">
        <v>5731</v>
      </c>
      <c r="R879" t="s">
        <v>5753</v>
      </c>
      <c r="S879" t="s">
        <v>5759</v>
      </c>
      <c r="T879" t="s">
        <v>4276</v>
      </c>
      <c r="V879" t="s">
        <v>5767</v>
      </c>
      <c r="W879" t="s">
        <v>5774</v>
      </c>
      <c r="X879" t="s">
        <v>136</v>
      </c>
      <c r="Y879">
        <v>1396.68</v>
      </c>
      <c r="Z879" t="s">
        <v>5803</v>
      </c>
      <c r="AA879" t="s">
        <v>5804</v>
      </c>
      <c r="AB879" t="s">
        <v>5821</v>
      </c>
      <c r="AC879" t="s">
        <v>6635</v>
      </c>
      <c r="AD879" t="s">
        <v>7611</v>
      </c>
      <c r="AE879" t="s">
        <v>8616</v>
      </c>
      <c r="AF879">
        <v>60</v>
      </c>
      <c r="AG879" t="s">
        <v>9277</v>
      </c>
      <c r="AI879">
        <v>4</v>
      </c>
      <c r="AJ879">
        <v>1</v>
      </c>
      <c r="AK879">
        <v>1</v>
      </c>
      <c r="AL879">
        <v>126.37</v>
      </c>
      <c r="AO879" t="s">
        <v>1425</v>
      </c>
      <c r="AP879">
        <v>20800</v>
      </c>
      <c r="AV879">
        <v>3.5</v>
      </c>
      <c r="AW879" t="s">
        <v>69</v>
      </c>
    </row>
    <row r="880" spans="1:49">
      <c r="A880" s="1">
        <f>HYPERLINK("https://cms.ls-nyc.org/matter/dynamic-profile/view/1877471","18-1877471")</f>
        <v>0</v>
      </c>
      <c r="B880" t="s">
        <v>69</v>
      </c>
      <c r="C880" t="s">
        <v>82</v>
      </c>
      <c r="D880" t="s">
        <v>180</v>
      </c>
      <c r="E880" t="s">
        <v>207</v>
      </c>
      <c r="F880" t="s">
        <v>979</v>
      </c>
      <c r="G880" t="s">
        <v>2039</v>
      </c>
      <c r="H880" t="s">
        <v>3246</v>
      </c>
      <c r="I880" t="s">
        <v>3978</v>
      </c>
      <c r="J880" t="s">
        <v>4232</v>
      </c>
      <c r="K880">
        <v>11104</v>
      </c>
      <c r="L880" t="s">
        <v>4275</v>
      </c>
      <c r="M880" t="s">
        <v>4275</v>
      </c>
      <c r="O880" t="s">
        <v>4282</v>
      </c>
      <c r="P880" t="s">
        <v>5050</v>
      </c>
      <c r="Q880" t="s">
        <v>5732</v>
      </c>
      <c r="R880" t="s">
        <v>5753</v>
      </c>
      <c r="S880" t="s">
        <v>5759</v>
      </c>
      <c r="T880" t="s">
        <v>4276</v>
      </c>
      <c r="V880" t="s">
        <v>5767</v>
      </c>
      <c r="W880" t="s">
        <v>5772</v>
      </c>
      <c r="X880" t="s">
        <v>180</v>
      </c>
      <c r="Y880">
        <v>1100</v>
      </c>
      <c r="Z880" t="s">
        <v>5803</v>
      </c>
      <c r="AA880" t="s">
        <v>5804</v>
      </c>
      <c r="AB880" t="s">
        <v>5821</v>
      </c>
      <c r="AC880" t="s">
        <v>6636</v>
      </c>
      <c r="AD880" t="s">
        <v>7612</v>
      </c>
      <c r="AE880" t="s">
        <v>8617</v>
      </c>
      <c r="AF880">
        <v>4</v>
      </c>
      <c r="AG880" t="s">
        <v>9269</v>
      </c>
      <c r="AH880" t="s">
        <v>4280</v>
      </c>
      <c r="AI880">
        <v>3</v>
      </c>
      <c r="AJ880">
        <v>1</v>
      </c>
      <c r="AK880">
        <v>1</v>
      </c>
      <c r="AL880">
        <v>133.66</v>
      </c>
      <c r="AO880" t="s">
        <v>1425</v>
      </c>
      <c r="AP880">
        <v>22000</v>
      </c>
      <c r="AV880">
        <v>0.5</v>
      </c>
      <c r="AW880" t="s">
        <v>54</v>
      </c>
    </row>
    <row r="881" spans="1:49">
      <c r="A881" s="1">
        <f>HYPERLINK("https://cms.ls-nyc.org/matter/dynamic-profile/view/1881245","18-1881245")</f>
        <v>0</v>
      </c>
      <c r="B881" t="s">
        <v>69</v>
      </c>
      <c r="C881" t="s">
        <v>82</v>
      </c>
      <c r="D881" t="s">
        <v>140</v>
      </c>
      <c r="E881" t="s">
        <v>282</v>
      </c>
      <c r="F881" t="s">
        <v>776</v>
      </c>
      <c r="G881" t="s">
        <v>2040</v>
      </c>
      <c r="H881" t="s">
        <v>3247</v>
      </c>
      <c r="I881" t="s">
        <v>3909</v>
      </c>
      <c r="J881" t="s">
        <v>4227</v>
      </c>
      <c r="K881">
        <v>11366</v>
      </c>
      <c r="L881" t="s">
        <v>4275</v>
      </c>
      <c r="M881" t="s">
        <v>4275</v>
      </c>
      <c r="O881" t="s">
        <v>4282</v>
      </c>
      <c r="P881" t="s">
        <v>5051</v>
      </c>
      <c r="Q881" t="s">
        <v>5731</v>
      </c>
      <c r="R881" t="s">
        <v>5753</v>
      </c>
      <c r="S881" t="s">
        <v>5759</v>
      </c>
      <c r="T881" t="s">
        <v>4276</v>
      </c>
      <c r="V881" t="s">
        <v>5767</v>
      </c>
      <c r="W881" t="s">
        <v>5774</v>
      </c>
      <c r="X881" t="s">
        <v>140</v>
      </c>
      <c r="Y881">
        <v>2400</v>
      </c>
      <c r="Z881" t="s">
        <v>5803</v>
      </c>
      <c r="AA881" t="s">
        <v>5804</v>
      </c>
      <c r="AB881" t="s">
        <v>5821</v>
      </c>
      <c r="AC881" t="s">
        <v>6637</v>
      </c>
      <c r="AE881" t="s">
        <v>8618</v>
      </c>
      <c r="AF881">
        <v>2</v>
      </c>
      <c r="AG881" t="s">
        <v>9269</v>
      </c>
      <c r="AH881" t="s">
        <v>4280</v>
      </c>
      <c r="AI881">
        <v>1</v>
      </c>
      <c r="AJ881">
        <v>1</v>
      </c>
      <c r="AK881">
        <v>0</v>
      </c>
      <c r="AL881">
        <v>149.92</v>
      </c>
      <c r="AO881" t="s">
        <v>1425</v>
      </c>
      <c r="AP881">
        <v>18200</v>
      </c>
      <c r="AV881">
        <v>3.75</v>
      </c>
      <c r="AW881" t="s">
        <v>73</v>
      </c>
    </row>
    <row r="882" spans="1:49">
      <c r="A882" s="1">
        <f>HYPERLINK("https://cms.ls-nyc.org/matter/dynamic-profile/view/1883075","18-1883075")</f>
        <v>0</v>
      </c>
      <c r="B882" t="s">
        <v>69</v>
      </c>
      <c r="C882" t="s">
        <v>82</v>
      </c>
      <c r="D882" t="s">
        <v>223</v>
      </c>
      <c r="E882" t="s">
        <v>248</v>
      </c>
      <c r="F882" t="s">
        <v>471</v>
      </c>
      <c r="G882" t="s">
        <v>1495</v>
      </c>
      <c r="H882" t="s">
        <v>3248</v>
      </c>
      <c r="I882" t="s">
        <v>3978</v>
      </c>
      <c r="J882" t="s">
        <v>4225</v>
      </c>
      <c r="K882">
        <v>11385</v>
      </c>
      <c r="L882" t="s">
        <v>4275</v>
      </c>
      <c r="M882" t="s">
        <v>4275</v>
      </c>
      <c r="O882" t="s">
        <v>4281</v>
      </c>
      <c r="P882" t="s">
        <v>5052</v>
      </c>
      <c r="Q882" t="s">
        <v>5731</v>
      </c>
      <c r="R882" t="s">
        <v>5751</v>
      </c>
      <c r="S882" t="s">
        <v>5758</v>
      </c>
      <c r="T882" t="s">
        <v>4276</v>
      </c>
      <c r="V882" t="s">
        <v>5767</v>
      </c>
      <c r="W882" t="s">
        <v>5772</v>
      </c>
      <c r="X882" t="s">
        <v>223</v>
      </c>
      <c r="Y882">
        <v>2400</v>
      </c>
      <c r="Z882" t="s">
        <v>5803</v>
      </c>
      <c r="AA882" t="s">
        <v>5804</v>
      </c>
      <c r="AB882" t="s">
        <v>5820</v>
      </c>
      <c r="AC882" t="s">
        <v>6638</v>
      </c>
      <c r="AD882" t="s">
        <v>7613</v>
      </c>
      <c r="AE882" t="s">
        <v>8619</v>
      </c>
      <c r="AF882">
        <v>4</v>
      </c>
      <c r="AG882" t="s">
        <v>9269</v>
      </c>
      <c r="AH882" t="s">
        <v>4280</v>
      </c>
      <c r="AI882">
        <v>2</v>
      </c>
      <c r="AJ882">
        <v>2</v>
      </c>
      <c r="AK882">
        <v>1</v>
      </c>
      <c r="AL882">
        <v>152.11</v>
      </c>
      <c r="AO882" t="s">
        <v>1425</v>
      </c>
      <c r="AP882">
        <v>31608</v>
      </c>
      <c r="AS882" t="s">
        <v>9336</v>
      </c>
      <c r="AT882" t="s">
        <v>9369</v>
      </c>
      <c r="AU882" t="s">
        <v>9388</v>
      </c>
      <c r="AV882">
        <v>13.92</v>
      </c>
      <c r="AW882" t="s">
        <v>73</v>
      </c>
    </row>
    <row r="883" spans="1:49">
      <c r="A883" s="1">
        <f>HYPERLINK("https://cms.ls-nyc.org/matter/dynamic-profile/view/1877003","18-1877003")</f>
        <v>0</v>
      </c>
      <c r="B883" t="s">
        <v>69</v>
      </c>
      <c r="C883" t="s">
        <v>82</v>
      </c>
      <c r="D883" t="s">
        <v>259</v>
      </c>
      <c r="E883" t="s">
        <v>182</v>
      </c>
      <c r="F883" t="s">
        <v>370</v>
      </c>
      <c r="G883" t="s">
        <v>1471</v>
      </c>
      <c r="H883" t="s">
        <v>2913</v>
      </c>
      <c r="I883">
        <v>1206</v>
      </c>
      <c r="J883" t="s">
        <v>4254</v>
      </c>
      <c r="K883">
        <v>11692</v>
      </c>
      <c r="L883" t="s">
        <v>4275</v>
      </c>
      <c r="M883" t="s">
        <v>4275</v>
      </c>
      <c r="O883" t="s">
        <v>4283</v>
      </c>
      <c r="P883" t="s">
        <v>4416</v>
      </c>
      <c r="Q883" t="s">
        <v>5747</v>
      </c>
      <c r="R883" t="s">
        <v>5754</v>
      </c>
      <c r="S883" t="s">
        <v>5763</v>
      </c>
      <c r="T883" t="s">
        <v>4276</v>
      </c>
      <c r="V883" t="s">
        <v>5767</v>
      </c>
      <c r="W883" t="s">
        <v>5772</v>
      </c>
      <c r="X883" t="s">
        <v>259</v>
      </c>
      <c r="Y883">
        <v>1500</v>
      </c>
      <c r="Z883" t="s">
        <v>5803</v>
      </c>
      <c r="AA883" t="s">
        <v>5813</v>
      </c>
      <c r="AB883" t="s">
        <v>5829</v>
      </c>
      <c r="AC883" t="s">
        <v>6639</v>
      </c>
      <c r="AE883" t="s">
        <v>8620</v>
      </c>
      <c r="AF883">
        <v>100</v>
      </c>
      <c r="AG883" t="s">
        <v>9278</v>
      </c>
      <c r="AH883" t="s">
        <v>9282</v>
      </c>
      <c r="AI883">
        <v>6</v>
      </c>
      <c r="AJ883">
        <v>1</v>
      </c>
      <c r="AK883">
        <v>0</v>
      </c>
      <c r="AL883">
        <v>159.55</v>
      </c>
      <c r="AO883" t="s">
        <v>1425</v>
      </c>
      <c r="AP883">
        <v>19369.24</v>
      </c>
      <c r="AV883">
        <v>4.35</v>
      </c>
      <c r="AW883" t="s">
        <v>9552</v>
      </c>
    </row>
    <row r="884" spans="1:49">
      <c r="A884" s="1">
        <f>HYPERLINK("https://cms.ls-nyc.org/matter/dynamic-profile/view/1894327","19-1894327")</f>
        <v>0</v>
      </c>
      <c r="B884" t="s">
        <v>69</v>
      </c>
      <c r="C884" t="s">
        <v>82</v>
      </c>
      <c r="D884" t="s">
        <v>211</v>
      </c>
      <c r="E884" t="s">
        <v>248</v>
      </c>
      <c r="F884" t="s">
        <v>980</v>
      </c>
      <c r="G884" t="s">
        <v>2041</v>
      </c>
      <c r="H884" t="s">
        <v>3249</v>
      </c>
      <c r="I884" t="s">
        <v>4097</v>
      </c>
      <c r="J884" t="s">
        <v>4233</v>
      </c>
      <c r="K884">
        <v>11375</v>
      </c>
      <c r="L884" t="s">
        <v>4275</v>
      </c>
      <c r="M884" t="s">
        <v>4275</v>
      </c>
      <c r="O884" t="s">
        <v>4282</v>
      </c>
      <c r="P884" t="s">
        <v>5053</v>
      </c>
      <c r="Q884" t="s">
        <v>5731</v>
      </c>
      <c r="R884" t="s">
        <v>5753</v>
      </c>
      <c r="S884" t="s">
        <v>5759</v>
      </c>
      <c r="T884" t="s">
        <v>4276</v>
      </c>
      <c r="V884" t="s">
        <v>5767</v>
      </c>
      <c r="W884" t="s">
        <v>5772</v>
      </c>
      <c r="Y884">
        <v>2062</v>
      </c>
      <c r="Z884" t="s">
        <v>5803</v>
      </c>
      <c r="AA884" t="s">
        <v>5804</v>
      </c>
      <c r="AB884" t="s">
        <v>5821</v>
      </c>
      <c r="AC884" t="s">
        <v>6640</v>
      </c>
      <c r="AD884" t="s">
        <v>4700</v>
      </c>
      <c r="AE884" t="s">
        <v>8621</v>
      </c>
      <c r="AF884">
        <v>10</v>
      </c>
      <c r="AG884" t="s">
        <v>9272</v>
      </c>
      <c r="AI884">
        <v>6</v>
      </c>
      <c r="AJ884">
        <v>1</v>
      </c>
      <c r="AK884">
        <v>0</v>
      </c>
      <c r="AL884">
        <v>176.14</v>
      </c>
      <c r="AO884" t="s">
        <v>1425</v>
      </c>
      <c r="AP884">
        <v>22000</v>
      </c>
      <c r="AV884">
        <v>2.45</v>
      </c>
      <c r="AW884" t="s">
        <v>69</v>
      </c>
    </row>
    <row r="885" spans="1:49">
      <c r="A885" s="1">
        <f>HYPERLINK("https://cms.ls-nyc.org/matter/dynamic-profile/view/1876872","18-1876872")</f>
        <v>0</v>
      </c>
      <c r="B885" t="s">
        <v>69</v>
      </c>
      <c r="C885" t="s">
        <v>82</v>
      </c>
      <c r="D885" t="s">
        <v>120</v>
      </c>
      <c r="E885" t="s">
        <v>181</v>
      </c>
      <c r="F885" t="s">
        <v>981</v>
      </c>
      <c r="G885" t="s">
        <v>2033</v>
      </c>
      <c r="H885" t="s">
        <v>3250</v>
      </c>
      <c r="I885" t="s">
        <v>3941</v>
      </c>
      <c r="J885" t="s">
        <v>4236</v>
      </c>
      <c r="K885">
        <v>11416</v>
      </c>
      <c r="L885" t="s">
        <v>4275</v>
      </c>
      <c r="M885" t="s">
        <v>4275</v>
      </c>
      <c r="O885" t="s">
        <v>4282</v>
      </c>
      <c r="P885" t="s">
        <v>5054</v>
      </c>
      <c r="Q885" t="s">
        <v>5732</v>
      </c>
      <c r="R885" t="s">
        <v>5753</v>
      </c>
      <c r="S885" t="s">
        <v>5759</v>
      </c>
      <c r="T885" t="s">
        <v>4276</v>
      </c>
      <c r="V885" t="s">
        <v>5767</v>
      </c>
      <c r="W885" t="s">
        <v>5772</v>
      </c>
      <c r="X885" t="s">
        <v>259</v>
      </c>
      <c r="Y885">
        <v>1000</v>
      </c>
      <c r="Z885" t="s">
        <v>5803</v>
      </c>
      <c r="AA885" t="s">
        <v>5804</v>
      </c>
      <c r="AB885" t="s">
        <v>5821</v>
      </c>
      <c r="AC885" t="s">
        <v>6641</v>
      </c>
      <c r="AD885" t="s">
        <v>4280</v>
      </c>
      <c r="AE885" t="s">
        <v>8622</v>
      </c>
      <c r="AF885">
        <v>2</v>
      </c>
      <c r="AG885" t="s">
        <v>9269</v>
      </c>
      <c r="AH885" t="s">
        <v>4280</v>
      </c>
      <c r="AI885">
        <v>4</v>
      </c>
      <c r="AJ885">
        <v>2</v>
      </c>
      <c r="AK885">
        <v>2</v>
      </c>
      <c r="AL885">
        <v>186.45</v>
      </c>
      <c r="AO885" t="s">
        <v>1425</v>
      </c>
      <c r="AP885">
        <v>46800</v>
      </c>
      <c r="AV885">
        <v>1.5</v>
      </c>
      <c r="AW885" t="s">
        <v>73</v>
      </c>
    </row>
    <row r="886" spans="1:49">
      <c r="A886" s="1">
        <f>HYPERLINK("https://cms.ls-nyc.org/matter/dynamic-profile/view/1873569","18-1873569")</f>
        <v>0</v>
      </c>
      <c r="B886" t="s">
        <v>69</v>
      </c>
      <c r="C886" t="s">
        <v>82</v>
      </c>
      <c r="D886" t="s">
        <v>133</v>
      </c>
      <c r="E886" t="s">
        <v>282</v>
      </c>
      <c r="F886" t="s">
        <v>982</v>
      </c>
      <c r="G886" t="s">
        <v>2042</v>
      </c>
      <c r="H886" t="s">
        <v>3251</v>
      </c>
      <c r="I886" t="s">
        <v>4098</v>
      </c>
      <c r="J886" t="s">
        <v>4222</v>
      </c>
      <c r="K886">
        <v>11432</v>
      </c>
      <c r="L886" t="s">
        <v>4275</v>
      </c>
      <c r="M886" t="s">
        <v>4275</v>
      </c>
      <c r="O886" t="s">
        <v>4282</v>
      </c>
      <c r="P886" t="s">
        <v>5055</v>
      </c>
      <c r="Q886" t="s">
        <v>5731</v>
      </c>
      <c r="R886" t="s">
        <v>5751</v>
      </c>
      <c r="S886" t="s">
        <v>5758</v>
      </c>
      <c r="T886" t="s">
        <v>4276</v>
      </c>
      <c r="V886" t="s">
        <v>5767</v>
      </c>
      <c r="W886" t="s">
        <v>5776</v>
      </c>
      <c r="X886" t="s">
        <v>5792</v>
      </c>
      <c r="Y886">
        <v>1659</v>
      </c>
      <c r="Z886" t="s">
        <v>5803</v>
      </c>
      <c r="AA886" t="s">
        <v>5809</v>
      </c>
      <c r="AB886" t="s">
        <v>5824</v>
      </c>
      <c r="AC886" t="s">
        <v>6642</v>
      </c>
      <c r="AF886">
        <v>110</v>
      </c>
      <c r="AG886" t="s">
        <v>9272</v>
      </c>
      <c r="AH886" t="s">
        <v>4280</v>
      </c>
      <c r="AI886">
        <v>3</v>
      </c>
      <c r="AJ886">
        <v>1</v>
      </c>
      <c r="AK886">
        <v>1</v>
      </c>
      <c r="AL886">
        <v>303.77</v>
      </c>
      <c r="AM886" t="s">
        <v>138</v>
      </c>
      <c r="AN886" t="s">
        <v>9293</v>
      </c>
      <c r="AO886" t="s">
        <v>1425</v>
      </c>
      <c r="AP886">
        <v>50000</v>
      </c>
      <c r="AV886">
        <v>32.3</v>
      </c>
      <c r="AW886" t="s">
        <v>69</v>
      </c>
    </row>
    <row r="887" spans="1:49">
      <c r="A887" s="1">
        <f>HYPERLINK("https://cms.ls-nyc.org/matter/dynamic-profile/view/1897277","19-1897277")</f>
        <v>0</v>
      </c>
      <c r="B887" t="s">
        <v>70</v>
      </c>
      <c r="C887" t="s">
        <v>83</v>
      </c>
      <c r="D887" t="s">
        <v>106</v>
      </c>
      <c r="F887" t="s">
        <v>751</v>
      </c>
      <c r="G887" t="s">
        <v>2043</v>
      </c>
      <c r="H887" t="s">
        <v>3252</v>
      </c>
      <c r="I887" t="s">
        <v>3933</v>
      </c>
      <c r="J887" t="s">
        <v>4222</v>
      </c>
      <c r="K887">
        <v>11434</v>
      </c>
      <c r="L887" t="s">
        <v>4275</v>
      </c>
      <c r="M887" t="s">
        <v>4275</v>
      </c>
      <c r="O887" t="s">
        <v>4281</v>
      </c>
      <c r="P887" t="s">
        <v>5056</v>
      </c>
      <c r="Q887" t="s">
        <v>5732</v>
      </c>
      <c r="R887" t="s">
        <v>5751</v>
      </c>
      <c r="T887" t="s">
        <v>4276</v>
      </c>
      <c r="V887" t="s">
        <v>5767</v>
      </c>
      <c r="W887" t="s">
        <v>5772</v>
      </c>
      <c r="Y887">
        <v>1268</v>
      </c>
      <c r="Z887" t="s">
        <v>5803</v>
      </c>
      <c r="AA887" t="s">
        <v>5805</v>
      </c>
      <c r="AC887" t="s">
        <v>6643</v>
      </c>
      <c r="AE887" t="s">
        <v>8623</v>
      </c>
      <c r="AF887">
        <v>85</v>
      </c>
      <c r="AG887" t="s">
        <v>9272</v>
      </c>
      <c r="AH887" t="s">
        <v>9283</v>
      </c>
      <c r="AI887">
        <v>1</v>
      </c>
      <c r="AJ887">
        <v>1</v>
      </c>
      <c r="AK887">
        <v>1</v>
      </c>
      <c r="AL887">
        <v>0</v>
      </c>
      <c r="AO887" t="s">
        <v>1425</v>
      </c>
      <c r="AP887">
        <v>0</v>
      </c>
      <c r="AV887">
        <v>16.9</v>
      </c>
      <c r="AW887" t="s">
        <v>70</v>
      </c>
    </row>
    <row r="888" spans="1:49">
      <c r="A888" s="1">
        <f>HYPERLINK("https://cms.ls-nyc.org/matter/dynamic-profile/view/1901125","19-1901125")</f>
        <v>0</v>
      </c>
      <c r="B888" t="s">
        <v>70</v>
      </c>
      <c r="C888" t="s">
        <v>83</v>
      </c>
      <c r="D888" t="s">
        <v>90</v>
      </c>
      <c r="F888" t="s">
        <v>983</v>
      </c>
      <c r="G888" t="s">
        <v>2044</v>
      </c>
      <c r="H888" t="s">
        <v>3253</v>
      </c>
      <c r="I888" t="s">
        <v>4099</v>
      </c>
      <c r="J888" t="s">
        <v>4253</v>
      </c>
      <c r="K888">
        <v>11422</v>
      </c>
      <c r="L888" t="s">
        <v>4275</v>
      </c>
      <c r="M888" t="s">
        <v>4277</v>
      </c>
      <c r="N888" t="s">
        <v>4278</v>
      </c>
      <c r="O888" t="s">
        <v>4282</v>
      </c>
      <c r="P888" t="s">
        <v>5057</v>
      </c>
      <c r="Q888" t="s">
        <v>5732</v>
      </c>
      <c r="R888" t="s">
        <v>5752</v>
      </c>
      <c r="T888" t="s">
        <v>4276</v>
      </c>
      <c r="V888" t="s">
        <v>5767</v>
      </c>
      <c r="Y888">
        <v>0</v>
      </c>
      <c r="Z888" t="s">
        <v>5803</v>
      </c>
      <c r="AA888" t="s">
        <v>5804</v>
      </c>
      <c r="AC888" t="s">
        <v>6644</v>
      </c>
      <c r="AE888" t="s">
        <v>8624</v>
      </c>
      <c r="AF888">
        <v>2</v>
      </c>
      <c r="AH888" t="s">
        <v>4280</v>
      </c>
      <c r="AI888">
        <v>3</v>
      </c>
      <c r="AJ888">
        <v>1</v>
      </c>
      <c r="AK888">
        <v>1</v>
      </c>
      <c r="AL888">
        <v>0</v>
      </c>
      <c r="AO888" t="s">
        <v>1425</v>
      </c>
      <c r="AP888">
        <v>0</v>
      </c>
      <c r="AV888">
        <v>5.6</v>
      </c>
      <c r="AW888" t="s">
        <v>9549</v>
      </c>
    </row>
    <row r="889" spans="1:49">
      <c r="A889" s="1">
        <f>HYPERLINK("https://cms.ls-nyc.org/matter/dynamic-profile/view/1887665","19-1887665")</f>
        <v>0</v>
      </c>
      <c r="B889" t="s">
        <v>70</v>
      </c>
      <c r="C889" t="s">
        <v>83</v>
      </c>
      <c r="D889" t="s">
        <v>136</v>
      </c>
      <c r="F889" t="s">
        <v>984</v>
      </c>
      <c r="G889" t="s">
        <v>2045</v>
      </c>
      <c r="H889" t="s">
        <v>3254</v>
      </c>
      <c r="I889">
        <v>2</v>
      </c>
      <c r="J889" t="s">
        <v>4234</v>
      </c>
      <c r="K889">
        <v>11103</v>
      </c>
      <c r="L889" t="s">
        <v>4277</v>
      </c>
      <c r="M889" t="s">
        <v>4277</v>
      </c>
      <c r="O889" t="s">
        <v>4282</v>
      </c>
      <c r="P889" t="s">
        <v>5058</v>
      </c>
      <c r="Q889" t="s">
        <v>5731</v>
      </c>
      <c r="R889" t="s">
        <v>5751</v>
      </c>
      <c r="V889" t="s">
        <v>5767</v>
      </c>
      <c r="Y889">
        <v>1265</v>
      </c>
      <c r="Z889" t="s">
        <v>5803</v>
      </c>
      <c r="AA889" t="s">
        <v>5804</v>
      </c>
      <c r="AC889" t="s">
        <v>6645</v>
      </c>
      <c r="AE889" t="s">
        <v>8625</v>
      </c>
      <c r="AF889">
        <v>12</v>
      </c>
      <c r="AG889" t="s">
        <v>9272</v>
      </c>
      <c r="AI889">
        <v>7</v>
      </c>
      <c r="AJ889">
        <v>1</v>
      </c>
      <c r="AK889">
        <v>0</v>
      </c>
      <c r="AL889">
        <v>0</v>
      </c>
      <c r="AO889" t="s">
        <v>1425</v>
      </c>
      <c r="AP889">
        <v>0</v>
      </c>
      <c r="AV889">
        <v>34.75</v>
      </c>
      <c r="AW889" t="s">
        <v>74</v>
      </c>
    </row>
    <row r="890" spans="1:49">
      <c r="A890" s="1">
        <f>HYPERLINK("https://cms.ls-nyc.org/matter/dynamic-profile/view/1898511","19-1898511")</f>
        <v>0</v>
      </c>
      <c r="B890" t="s">
        <v>70</v>
      </c>
      <c r="C890" t="s">
        <v>82</v>
      </c>
      <c r="D890" t="s">
        <v>141</v>
      </c>
      <c r="E890" t="s">
        <v>93</v>
      </c>
      <c r="F890" t="s">
        <v>985</v>
      </c>
      <c r="G890" t="s">
        <v>2046</v>
      </c>
      <c r="H890" t="s">
        <v>3255</v>
      </c>
      <c r="I890" t="s">
        <v>3867</v>
      </c>
      <c r="J890" t="s">
        <v>4245</v>
      </c>
      <c r="K890">
        <v>11418</v>
      </c>
      <c r="L890" t="s">
        <v>4275</v>
      </c>
      <c r="M890" t="s">
        <v>4275</v>
      </c>
      <c r="O890" t="s">
        <v>4282</v>
      </c>
      <c r="P890" t="s">
        <v>5059</v>
      </c>
      <c r="Q890" t="s">
        <v>5732</v>
      </c>
      <c r="R890" t="s">
        <v>5753</v>
      </c>
      <c r="S890" t="s">
        <v>5759</v>
      </c>
      <c r="T890" t="s">
        <v>4276</v>
      </c>
      <c r="V890" t="s">
        <v>5767</v>
      </c>
      <c r="W890" t="s">
        <v>5772</v>
      </c>
      <c r="X890" t="s">
        <v>141</v>
      </c>
      <c r="Y890">
        <v>2350</v>
      </c>
      <c r="Z890" t="s">
        <v>5803</v>
      </c>
      <c r="AA890" t="s">
        <v>5804</v>
      </c>
      <c r="AB890" t="s">
        <v>5821</v>
      </c>
      <c r="AC890" t="s">
        <v>6646</v>
      </c>
      <c r="AD890" t="s">
        <v>4700</v>
      </c>
      <c r="AE890" t="s">
        <v>8626</v>
      </c>
      <c r="AF890">
        <v>2</v>
      </c>
      <c r="AG890" t="s">
        <v>9269</v>
      </c>
      <c r="AH890" t="s">
        <v>4280</v>
      </c>
      <c r="AI890">
        <v>2</v>
      </c>
      <c r="AJ890">
        <v>2</v>
      </c>
      <c r="AK890">
        <v>3</v>
      </c>
      <c r="AL890">
        <v>43.09</v>
      </c>
      <c r="AO890" t="s">
        <v>9298</v>
      </c>
      <c r="AP890">
        <v>13000</v>
      </c>
      <c r="AV890">
        <v>1.6</v>
      </c>
      <c r="AW890" t="s">
        <v>54</v>
      </c>
    </row>
    <row r="891" spans="1:49">
      <c r="A891" s="1">
        <f>HYPERLINK("https://cms.ls-nyc.org/matter/dynamic-profile/view/1880680","18-1880680")</f>
        <v>0</v>
      </c>
      <c r="B891" t="s">
        <v>70</v>
      </c>
      <c r="C891" t="s">
        <v>83</v>
      </c>
      <c r="D891" t="s">
        <v>84</v>
      </c>
      <c r="F891" t="s">
        <v>986</v>
      </c>
      <c r="G891" t="s">
        <v>2047</v>
      </c>
      <c r="H891" t="s">
        <v>3256</v>
      </c>
      <c r="I891" t="s">
        <v>4100</v>
      </c>
      <c r="J891" t="s">
        <v>4240</v>
      </c>
      <c r="K891">
        <v>11373</v>
      </c>
      <c r="L891" t="s">
        <v>4275</v>
      </c>
      <c r="M891" t="s">
        <v>4275</v>
      </c>
      <c r="O891" t="s">
        <v>4282</v>
      </c>
      <c r="P891" t="s">
        <v>5060</v>
      </c>
      <c r="Q891" t="s">
        <v>5731</v>
      </c>
      <c r="R891" t="s">
        <v>5751</v>
      </c>
      <c r="T891" t="s">
        <v>4276</v>
      </c>
      <c r="V891" t="s">
        <v>5767</v>
      </c>
      <c r="Y891">
        <v>1800</v>
      </c>
      <c r="Z891" t="s">
        <v>5803</v>
      </c>
      <c r="AA891" t="s">
        <v>5804</v>
      </c>
      <c r="AC891" t="s">
        <v>6647</v>
      </c>
      <c r="AD891" t="s">
        <v>7614</v>
      </c>
      <c r="AE891" t="s">
        <v>8627</v>
      </c>
      <c r="AF891">
        <v>63</v>
      </c>
      <c r="AG891" t="s">
        <v>9270</v>
      </c>
      <c r="AI891">
        <v>3</v>
      </c>
      <c r="AJ891">
        <v>2</v>
      </c>
      <c r="AK891">
        <v>0</v>
      </c>
      <c r="AL891">
        <v>85.05</v>
      </c>
      <c r="AO891" t="s">
        <v>1425</v>
      </c>
      <c r="AP891">
        <v>14000</v>
      </c>
      <c r="AV891">
        <v>27</v>
      </c>
      <c r="AW891" t="s">
        <v>54</v>
      </c>
    </row>
    <row r="892" spans="1:49">
      <c r="A892" s="1">
        <f>HYPERLINK("https://cms.ls-nyc.org/matter/dynamic-profile/view/1900991","19-1900991")</f>
        <v>0</v>
      </c>
      <c r="B892" t="s">
        <v>70</v>
      </c>
      <c r="C892" t="s">
        <v>83</v>
      </c>
      <c r="D892" t="s">
        <v>217</v>
      </c>
      <c r="F892" t="s">
        <v>987</v>
      </c>
      <c r="G892" t="s">
        <v>2048</v>
      </c>
      <c r="H892" t="s">
        <v>3257</v>
      </c>
      <c r="I892" t="s">
        <v>3976</v>
      </c>
      <c r="J892" t="s">
        <v>4229</v>
      </c>
      <c r="K892">
        <v>11367</v>
      </c>
      <c r="L892" t="s">
        <v>4275</v>
      </c>
      <c r="M892" t="s">
        <v>4277</v>
      </c>
      <c r="N892" t="s">
        <v>4278</v>
      </c>
      <c r="O892" t="s">
        <v>4282</v>
      </c>
      <c r="P892" t="s">
        <v>5061</v>
      </c>
      <c r="Q892" t="s">
        <v>5732</v>
      </c>
      <c r="R892" t="s">
        <v>5753</v>
      </c>
      <c r="T892" t="s">
        <v>4276</v>
      </c>
      <c r="V892" t="s">
        <v>5767</v>
      </c>
      <c r="W892" t="s">
        <v>5772</v>
      </c>
      <c r="X892" t="s">
        <v>217</v>
      </c>
      <c r="Y892">
        <v>1600</v>
      </c>
      <c r="Z892" t="s">
        <v>5803</v>
      </c>
      <c r="AA892" t="s">
        <v>5804</v>
      </c>
      <c r="AC892" t="s">
        <v>6648</v>
      </c>
      <c r="AD892" t="s">
        <v>7615</v>
      </c>
      <c r="AE892" t="s">
        <v>8628</v>
      </c>
      <c r="AF892">
        <v>2</v>
      </c>
      <c r="AG892" t="s">
        <v>9269</v>
      </c>
      <c r="AH892" t="s">
        <v>9283</v>
      </c>
      <c r="AI892">
        <v>6</v>
      </c>
      <c r="AJ892">
        <v>1</v>
      </c>
      <c r="AK892">
        <v>2</v>
      </c>
      <c r="AL892">
        <v>89.08</v>
      </c>
      <c r="AO892" t="s">
        <v>9318</v>
      </c>
      <c r="AP892">
        <v>19000</v>
      </c>
      <c r="AV892">
        <v>1.2</v>
      </c>
      <c r="AW892" t="s">
        <v>70</v>
      </c>
    </row>
    <row r="893" spans="1:49">
      <c r="A893" s="1">
        <f>HYPERLINK("https://cms.ls-nyc.org/matter/dynamic-profile/view/1897573","19-1897573")</f>
        <v>0</v>
      </c>
      <c r="B893" t="s">
        <v>70</v>
      </c>
      <c r="C893" t="s">
        <v>83</v>
      </c>
      <c r="D893" t="s">
        <v>107</v>
      </c>
      <c r="F893" t="s">
        <v>988</v>
      </c>
      <c r="G893" t="s">
        <v>2049</v>
      </c>
      <c r="H893" t="s">
        <v>3258</v>
      </c>
      <c r="I893" t="s">
        <v>3906</v>
      </c>
      <c r="J893" t="s">
        <v>4225</v>
      </c>
      <c r="K893">
        <v>11385</v>
      </c>
      <c r="L893" t="s">
        <v>4275</v>
      </c>
      <c r="M893" t="s">
        <v>4275</v>
      </c>
      <c r="O893" t="s">
        <v>4281</v>
      </c>
      <c r="P893" t="s">
        <v>5062</v>
      </c>
      <c r="Q893" t="s">
        <v>5731</v>
      </c>
      <c r="R893" t="s">
        <v>5751</v>
      </c>
      <c r="T893" t="s">
        <v>4276</v>
      </c>
      <c r="V893" t="s">
        <v>5767</v>
      </c>
      <c r="W893" t="s">
        <v>5772</v>
      </c>
      <c r="X893" t="s">
        <v>107</v>
      </c>
      <c r="Y893">
        <v>2695</v>
      </c>
      <c r="Z893" t="s">
        <v>5803</v>
      </c>
      <c r="AA893" t="s">
        <v>5805</v>
      </c>
      <c r="AC893" t="s">
        <v>6649</v>
      </c>
      <c r="AE893" t="s">
        <v>8629</v>
      </c>
      <c r="AF893">
        <v>90</v>
      </c>
      <c r="AG893" t="s">
        <v>9272</v>
      </c>
      <c r="AH893" t="s">
        <v>4280</v>
      </c>
      <c r="AI893">
        <v>1</v>
      </c>
      <c r="AJ893">
        <v>2</v>
      </c>
      <c r="AK893">
        <v>1</v>
      </c>
      <c r="AL893">
        <v>90.01000000000001</v>
      </c>
      <c r="AO893" t="s">
        <v>1425</v>
      </c>
      <c r="AP893">
        <v>19200</v>
      </c>
      <c r="AV893">
        <v>21.7</v>
      </c>
      <c r="AW893" t="s">
        <v>54</v>
      </c>
    </row>
    <row r="894" spans="1:49">
      <c r="A894" s="1">
        <f>HYPERLINK("https://cms.ls-nyc.org/matter/dynamic-profile/view/1900701","19-1900701")</f>
        <v>0</v>
      </c>
      <c r="B894" t="s">
        <v>70</v>
      </c>
      <c r="C894" t="s">
        <v>83</v>
      </c>
      <c r="D894" t="s">
        <v>97</v>
      </c>
      <c r="F894" t="s">
        <v>366</v>
      </c>
      <c r="G894" t="s">
        <v>2050</v>
      </c>
      <c r="H894" t="s">
        <v>3259</v>
      </c>
      <c r="I894" t="s">
        <v>3867</v>
      </c>
      <c r="J894" t="s">
        <v>4226</v>
      </c>
      <c r="K894">
        <v>11385</v>
      </c>
      <c r="L894" t="s">
        <v>4275</v>
      </c>
      <c r="M894" t="s">
        <v>4277</v>
      </c>
      <c r="N894" t="s">
        <v>4278</v>
      </c>
      <c r="O894" t="s">
        <v>4281</v>
      </c>
      <c r="P894" t="s">
        <v>5063</v>
      </c>
      <c r="Q894" t="s">
        <v>5732</v>
      </c>
      <c r="R894" t="s">
        <v>5752</v>
      </c>
      <c r="T894" t="s">
        <v>4276</v>
      </c>
      <c r="V894" t="s">
        <v>5767</v>
      </c>
      <c r="W894" t="s">
        <v>5772</v>
      </c>
      <c r="X894" t="s">
        <v>97</v>
      </c>
      <c r="Y894">
        <v>1600</v>
      </c>
      <c r="Z894" t="s">
        <v>5803</v>
      </c>
      <c r="AA894" t="s">
        <v>5805</v>
      </c>
      <c r="AC894" t="s">
        <v>6650</v>
      </c>
      <c r="AE894" t="s">
        <v>8630</v>
      </c>
      <c r="AF894">
        <v>3</v>
      </c>
      <c r="AG894" t="s">
        <v>9269</v>
      </c>
      <c r="AH894" t="s">
        <v>4280</v>
      </c>
      <c r="AI894">
        <v>9</v>
      </c>
      <c r="AJ894">
        <v>1</v>
      </c>
      <c r="AK894">
        <v>2</v>
      </c>
      <c r="AL894">
        <v>94.12</v>
      </c>
      <c r="AO894" t="s">
        <v>1425</v>
      </c>
      <c r="AP894">
        <v>20076</v>
      </c>
      <c r="AV894">
        <v>1.35</v>
      </c>
      <c r="AW894" t="s">
        <v>54</v>
      </c>
    </row>
    <row r="895" spans="1:49">
      <c r="A895" s="1">
        <f>HYPERLINK("https://cms.ls-nyc.org/matter/dynamic-profile/view/1895851","19-1895851")</f>
        <v>0</v>
      </c>
      <c r="B895" t="s">
        <v>70</v>
      </c>
      <c r="C895" t="s">
        <v>83</v>
      </c>
      <c r="D895" t="s">
        <v>94</v>
      </c>
      <c r="F895" t="s">
        <v>989</v>
      </c>
      <c r="G895" t="s">
        <v>2051</v>
      </c>
      <c r="H895" t="s">
        <v>3260</v>
      </c>
      <c r="I895" t="s">
        <v>4101</v>
      </c>
      <c r="J895" t="s">
        <v>4222</v>
      </c>
      <c r="K895">
        <v>11434</v>
      </c>
      <c r="L895" t="s">
        <v>4275</v>
      </c>
      <c r="M895" t="s">
        <v>4275</v>
      </c>
      <c r="O895" t="s">
        <v>4281</v>
      </c>
      <c r="P895" t="s">
        <v>5064</v>
      </c>
      <c r="Q895" t="s">
        <v>5731</v>
      </c>
      <c r="R895" t="s">
        <v>5751</v>
      </c>
      <c r="T895" t="s">
        <v>4276</v>
      </c>
      <c r="V895" t="s">
        <v>5767</v>
      </c>
      <c r="W895" t="s">
        <v>5771</v>
      </c>
      <c r="X895" t="s">
        <v>132</v>
      </c>
      <c r="Y895">
        <v>1149.1</v>
      </c>
      <c r="Z895" t="s">
        <v>5803</v>
      </c>
      <c r="AA895" t="s">
        <v>5805</v>
      </c>
      <c r="AC895" t="s">
        <v>6651</v>
      </c>
      <c r="AD895" t="s">
        <v>4700</v>
      </c>
      <c r="AE895" t="s">
        <v>8631</v>
      </c>
      <c r="AF895">
        <v>293</v>
      </c>
      <c r="AG895" t="s">
        <v>9273</v>
      </c>
      <c r="AH895" t="s">
        <v>4280</v>
      </c>
      <c r="AI895">
        <v>19</v>
      </c>
      <c r="AJ895">
        <v>2</v>
      </c>
      <c r="AK895">
        <v>2</v>
      </c>
      <c r="AL895">
        <v>124.27</v>
      </c>
      <c r="AO895" t="s">
        <v>1425</v>
      </c>
      <c r="AP895">
        <v>32000</v>
      </c>
      <c r="AV895">
        <v>9.699999999999999</v>
      </c>
      <c r="AW895" t="s">
        <v>70</v>
      </c>
    </row>
    <row r="896" spans="1:49">
      <c r="A896" s="1">
        <f>HYPERLINK("https://cms.ls-nyc.org/matter/dynamic-profile/view/1894347","19-1894347")</f>
        <v>0</v>
      </c>
      <c r="B896" t="s">
        <v>70</v>
      </c>
      <c r="C896" t="s">
        <v>82</v>
      </c>
      <c r="D896" t="s">
        <v>121</v>
      </c>
      <c r="E896" t="s">
        <v>298</v>
      </c>
      <c r="F896" t="s">
        <v>511</v>
      </c>
      <c r="G896" t="s">
        <v>2052</v>
      </c>
      <c r="H896" t="s">
        <v>3261</v>
      </c>
      <c r="I896" t="s">
        <v>3933</v>
      </c>
      <c r="J896" t="s">
        <v>4240</v>
      </c>
      <c r="K896">
        <v>11373</v>
      </c>
      <c r="L896" t="s">
        <v>4275</v>
      </c>
      <c r="M896" t="s">
        <v>4275</v>
      </c>
      <c r="N896" t="s">
        <v>4278</v>
      </c>
      <c r="O896" t="s">
        <v>4281</v>
      </c>
      <c r="P896" t="s">
        <v>5065</v>
      </c>
      <c r="Q896" t="s">
        <v>5732</v>
      </c>
      <c r="R896" t="s">
        <v>5751</v>
      </c>
      <c r="S896" t="s">
        <v>5758</v>
      </c>
      <c r="T896" t="s">
        <v>4276</v>
      </c>
      <c r="V896" t="s">
        <v>5767</v>
      </c>
      <c r="W896" t="s">
        <v>5772</v>
      </c>
      <c r="X896" t="s">
        <v>121</v>
      </c>
      <c r="Y896">
        <v>790.8099999999999</v>
      </c>
      <c r="Z896" t="s">
        <v>5803</v>
      </c>
      <c r="AA896" t="s">
        <v>5805</v>
      </c>
      <c r="AB896" t="s">
        <v>5820</v>
      </c>
      <c r="AC896" t="s">
        <v>6652</v>
      </c>
      <c r="AE896" t="s">
        <v>8632</v>
      </c>
      <c r="AF896">
        <v>66</v>
      </c>
      <c r="AG896" t="s">
        <v>9272</v>
      </c>
      <c r="AH896" t="s">
        <v>4280</v>
      </c>
      <c r="AI896">
        <v>40</v>
      </c>
      <c r="AJ896">
        <v>1</v>
      </c>
      <c r="AK896">
        <v>0</v>
      </c>
      <c r="AL896">
        <v>129.7</v>
      </c>
      <c r="AO896" t="s">
        <v>9298</v>
      </c>
      <c r="AP896">
        <v>16200</v>
      </c>
      <c r="AR896" t="s">
        <v>9329</v>
      </c>
      <c r="AS896" t="s">
        <v>9337</v>
      </c>
      <c r="AT896" t="s">
        <v>9369</v>
      </c>
      <c r="AU896" t="s">
        <v>9466</v>
      </c>
      <c r="AV896">
        <v>24.3</v>
      </c>
      <c r="AW896" t="s">
        <v>54</v>
      </c>
    </row>
    <row r="897" spans="1:49">
      <c r="A897" s="1">
        <f>HYPERLINK("https://cms.ls-nyc.org/matter/dynamic-profile/view/1900797","19-1900797")</f>
        <v>0</v>
      </c>
      <c r="B897" t="s">
        <v>70</v>
      </c>
      <c r="C897" t="s">
        <v>83</v>
      </c>
      <c r="D897" t="s">
        <v>166</v>
      </c>
      <c r="F897" t="s">
        <v>780</v>
      </c>
      <c r="G897" t="s">
        <v>2053</v>
      </c>
      <c r="H897" t="s">
        <v>3262</v>
      </c>
      <c r="I897" t="s">
        <v>3866</v>
      </c>
      <c r="J897" t="s">
        <v>4226</v>
      </c>
      <c r="K897">
        <v>11385</v>
      </c>
      <c r="L897" t="s">
        <v>4275</v>
      </c>
      <c r="M897" t="s">
        <v>4277</v>
      </c>
      <c r="N897" t="s">
        <v>4278</v>
      </c>
      <c r="O897" t="s">
        <v>4281</v>
      </c>
      <c r="P897" t="s">
        <v>5066</v>
      </c>
      <c r="Q897" t="s">
        <v>5732</v>
      </c>
      <c r="R897" t="s">
        <v>5751</v>
      </c>
      <c r="T897" t="s">
        <v>4276</v>
      </c>
      <c r="V897" t="s">
        <v>5767</v>
      </c>
      <c r="X897" t="s">
        <v>166</v>
      </c>
      <c r="Y897">
        <v>1500</v>
      </c>
      <c r="Z897" t="s">
        <v>5803</v>
      </c>
      <c r="AA897" t="s">
        <v>5805</v>
      </c>
      <c r="AC897" t="s">
        <v>6653</v>
      </c>
      <c r="AE897" t="s">
        <v>8633</v>
      </c>
      <c r="AF897">
        <v>2</v>
      </c>
      <c r="AG897" t="s">
        <v>9270</v>
      </c>
      <c r="AH897" t="s">
        <v>4280</v>
      </c>
      <c r="AI897">
        <v>3</v>
      </c>
      <c r="AJ897">
        <v>2</v>
      </c>
      <c r="AK897">
        <v>0</v>
      </c>
      <c r="AL897">
        <v>135.68</v>
      </c>
      <c r="AO897" t="s">
        <v>1425</v>
      </c>
      <c r="AP897">
        <v>22944</v>
      </c>
      <c r="AV897">
        <v>1.3</v>
      </c>
      <c r="AW897" t="s">
        <v>54</v>
      </c>
    </row>
    <row r="898" spans="1:49">
      <c r="A898" s="1">
        <f>HYPERLINK("https://cms.ls-nyc.org/matter/dynamic-profile/view/1900493","19-1900493")</f>
        <v>0</v>
      </c>
      <c r="B898" t="s">
        <v>70</v>
      </c>
      <c r="C898" t="s">
        <v>83</v>
      </c>
      <c r="D898" t="s">
        <v>232</v>
      </c>
      <c r="F898" t="s">
        <v>760</v>
      </c>
      <c r="G898" t="s">
        <v>1385</v>
      </c>
      <c r="H898" t="s">
        <v>3263</v>
      </c>
      <c r="I898" t="s">
        <v>3999</v>
      </c>
      <c r="J898" t="s">
        <v>4226</v>
      </c>
      <c r="K898">
        <v>11385</v>
      </c>
      <c r="L898" t="s">
        <v>4275</v>
      </c>
      <c r="M898" t="s">
        <v>4277</v>
      </c>
      <c r="O898" t="s">
        <v>4281</v>
      </c>
      <c r="P898" t="s">
        <v>5067</v>
      </c>
      <c r="Q898" t="s">
        <v>5731</v>
      </c>
      <c r="R898" t="s">
        <v>5752</v>
      </c>
      <c r="T898" t="s">
        <v>4276</v>
      </c>
      <c r="V898" t="s">
        <v>5767</v>
      </c>
      <c r="W898" t="s">
        <v>5774</v>
      </c>
      <c r="X898" t="s">
        <v>232</v>
      </c>
      <c r="Y898">
        <v>2050</v>
      </c>
      <c r="Z898" t="s">
        <v>5803</v>
      </c>
      <c r="AA898" t="s">
        <v>5804</v>
      </c>
      <c r="AC898" t="s">
        <v>6654</v>
      </c>
      <c r="AE898" t="s">
        <v>8634</v>
      </c>
      <c r="AF898">
        <v>52</v>
      </c>
      <c r="AG898" t="s">
        <v>9272</v>
      </c>
      <c r="AH898" t="s">
        <v>4280</v>
      </c>
      <c r="AI898">
        <v>5</v>
      </c>
      <c r="AJ898">
        <v>3</v>
      </c>
      <c r="AK898">
        <v>0</v>
      </c>
      <c r="AL898">
        <v>150.02</v>
      </c>
      <c r="AO898" t="s">
        <v>1425</v>
      </c>
      <c r="AP898">
        <v>32000</v>
      </c>
      <c r="AV898">
        <v>3.9</v>
      </c>
      <c r="AW898" t="s">
        <v>72</v>
      </c>
    </row>
    <row r="899" spans="1:49">
      <c r="A899" s="1">
        <f>HYPERLINK("https://cms.ls-nyc.org/matter/dynamic-profile/view/1899876","19-1899876")</f>
        <v>0</v>
      </c>
      <c r="B899" t="s">
        <v>70</v>
      </c>
      <c r="C899" t="s">
        <v>83</v>
      </c>
      <c r="D899" t="s">
        <v>95</v>
      </c>
      <c r="F899" t="s">
        <v>990</v>
      </c>
      <c r="G899" t="s">
        <v>2054</v>
      </c>
      <c r="H899" t="s">
        <v>3264</v>
      </c>
      <c r="I899" t="s">
        <v>4102</v>
      </c>
      <c r="J899" t="s">
        <v>4229</v>
      </c>
      <c r="K899">
        <v>11355</v>
      </c>
      <c r="L899" t="s">
        <v>4275</v>
      </c>
      <c r="M899" t="s">
        <v>4277</v>
      </c>
      <c r="N899" t="s">
        <v>4278</v>
      </c>
      <c r="O899" t="s">
        <v>4282</v>
      </c>
      <c r="P899" t="s">
        <v>5068</v>
      </c>
      <c r="Q899" t="s">
        <v>5732</v>
      </c>
      <c r="R899" t="s">
        <v>5753</v>
      </c>
      <c r="T899" t="s">
        <v>4276</v>
      </c>
      <c r="V899" t="s">
        <v>5767</v>
      </c>
      <c r="W899" t="s">
        <v>5772</v>
      </c>
      <c r="X899" t="s">
        <v>95</v>
      </c>
      <c r="Y899">
        <v>1500</v>
      </c>
      <c r="Z899" t="s">
        <v>5803</v>
      </c>
      <c r="AA899" t="s">
        <v>5804</v>
      </c>
      <c r="AC899" t="s">
        <v>6655</v>
      </c>
      <c r="AE899" t="s">
        <v>8635</v>
      </c>
      <c r="AF899">
        <v>3</v>
      </c>
      <c r="AG899" t="s">
        <v>9269</v>
      </c>
      <c r="AH899" t="s">
        <v>4280</v>
      </c>
      <c r="AI899">
        <v>8</v>
      </c>
      <c r="AJ899">
        <v>2</v>
      </c>
      <c r="AK899">
        <v>0</v>
      </c>
      <c r="AL899">
        <v>150.8</v>
      </c>
      <c r="AO899" t="s">
        <v>9318</v>
      </c>
      <c r="AP899">
        <v>25500</v>
      </c>
      <c r="AV899">
        <v>1.2</v>
      </c>
      <c r="AW899" t="s">
        <v>74</v>
      </c>
    </row>
    <row r="900" spans="1:49">
      <c r="A900" s="1">
        <f>HYPERLINK("https://cms.ls-nyc.org/matter/dynamic-profile/view/1872454","18-1872454")</f>
        <v>0</v>
      </c>
      <c r="B900" t="s">
        <v>70</v>
      </c>
      <c r="C900" t="s">
        <v>83</v>
      </c>
      <c r="D900" t="s">
        <v>195</v>
      </c>
      <c r="F900" t="s">
        <v>471</v>
      </c>
      <c r="G900" t="s">
        <v>2055</v>
      </c>
      <c r="H900" t="s">
        <v>3265</v>
      </c>
      <c r="I900" t="s">
        <v>4031</v>
      </c>
      <c r="J900" t="s">
        <v>4240</v>
      </c>
      <c r="K900">
        <v>11373</v>
      </c>
      <c r="L900" t="s">
        <v>4275</v>
      </c>
      <c r="M900" t="s">
        <v>4275</v>
      </c>
      <c r="O900" t="s">
        <v>4281</v>
      </c>
      <c r="P900" t="s">
        <v>5069</v>
      </c>
      <c r="Q900" t="s">
        <v>5731</v>
      </c>
      <c r="R900" t="s">
        <v>5751</v>
      </c>
      <c r="T900" t="s">
        <v>4276</v>
      </c>
      <c r="V900" t="s">
        <v>5767</v>
      </c>
      <c r="W900" t="s">
        <v>5772</v>
      </c>
      <c r="X900" t="s">
        <v>195</v>
      </c>
      <c r="Y900">
        <v>1815</v>
      </c>
      <c r="Z900" t="s">
        <v>5803</v>
      </c>
      <c r="AA900" t="s">
        <v>5804</v>
      </c>
      <c r="AC900" t="s">
        <v>6656</v>
      </c>
      <c r="AE900" t="s">
        <v>8636</v>
      </c>
      <c r="AF900">
        <v>20</v>
      </c>
      <c r="AG900" t="s">
        <v>9272</v>
      </c>
      <c r="AH900" t="s">
        <v>4280</v>
      </c>
      <c r="AI900">
        <v>4</v>
      </c>
      <c r="AJ900">
        <v>2</v>
      </c>
      <c r="AK900">
        <v>3</v>
      </c>
      <c r="AL900">
        <v>159.76</v>
      </c>
      <c r="AN900" t="s">
        <v>9294</v>
      </c>
      <c r="AO900" t="s">
        <v>1425</v>
      </c>
      <c r="AP900">
        <v>47000</v>
      </c>
      <c r="AV900">
        <v>56.4</v>
      </c>
      <c r="AW900" t="s">
        <v>54</v>
      </c>
    </row>
    <row r="901" spans="1:49">
      <c r="A901" s="1">
        <f>HYPERLINK("https://cms.ls-nyc.org/matter/dynamic-profile/view/1900953","19-1900953")</f>
        <v>0</v>
      </c>
      <c r="B901" t="s">
        <v>70</v>
      </c>
      <c r="C901" t="s">
        <v>83</v>
      </c>
      <c r="D901" t="s">
        <v>217</v>
      </c>
      <c r="F901" t="s">
        <v>991</v>
      </c>
      <c r="G901" t="s">
        <v>2056</v>
      </c>
      <c r="H901" t="s">
        <v>3266</v>
      </c>
      <c r="I901" t="s">
        <v>3890</v>
      </c>
      <c r="J901" t="s">
        <v>4225</v>
      </c>
      <c r="K901">
        <v>11385</v>
      </c>
      <c r="L901" t="s">
        <v>4277</v>
      </c>
      <c r="M901" t="s">
        <v>4277</v>
      </c>
      <c r="N901" t="s">
        <v>4278</v>
      </c>
      <c r="O901" t="s">
        <v>4282</v>
      </c>
      <c r="P901" t="s">
        <v>5070</v>
      </c>
      <c r="Q901" t="s">
        <v>5732</v>
      </c>
      <c r="R901" t="s">
        <v>5752</v>
      </c>
      <c r="T901" t="s">
        <v>4276</v>
      </c>
      <c r="V901" t="s">
        <v>5767</v>
      </c>
      <c r="Y901">
        <v>1200</v>
      </c>
      <c r="Z901" t="s">
        <v>5803</v>
      </c>
      <c r="AA901" t="s">
        <v>5804</v>
      </c>
      <c r="AC901" t="s">
        <v>6657</v>
      </c>
      <c r="AE901" t="s">
        <v>8637</v>
      </c>
      <c r="AF901">
        <v>6</v>
      </c>
      <c r="AG901" t="s">
        <v>9269</v>
      </c>
      <c r="AH901" t="s">
        <v>4280</v>
      </c>
      <c r="AI901">
        <v>4</v>
      </c>
      <c r="AJ901">
        <v>1</v>
      </c>
      <c r="AK901">
        <v>0</v>
      </c>
      <c r="AL901">
        <v>187.35</v>
      </c>
      <c r="AO901" t="s">
        <v>1425</v>
      </c>
      <c r="AP901">
        <v>23400</v>
      </c>
      <c r="AV901">
        <v>17</v>
      </c>
      <c r="AW901" t="s">
        <v>9549</v>
      </c>
    </row>
    <row r="902" spans="1:49">
      <c r="A902" s="1">
        <f>HYPERLINK("https://cms.ls-nyc.org/matter/dynamic-profile/view/1894405","19-1894405")</f>
        <v>0</v>
      </c>
      <c r="B902" t="s">
        <v>70</v>
      </c>
      <c r="C902" t="s">
        <v>83</v>
      </c>
      <c r="D902" t="s">
        <v>121</v>
      </c>
      <c r="F902" t="s">
        <v>992</v>
      </c>
      <c r="G902" t="s">
        <v>2057</v>
      </c>
      <c r="H902" t="s">
        <v>2857</v>
      </c>
      <c r="I902" t="s">
        <v>4103</v>
      </c>
      <c r="J902" t="s">
        <v>4222</v>
      </c>
      <c r="K902">
        <v>11434</v>
      </c>
      <c r="L902" t="s">
        <v>4275</v>
      </c>
      <c r="M902" t="s">
        <v>4275</v>
      </c>
      <c r="O902" t="s">
        <v>4281</v>
      </c>
      <c r="P902" t="s">
        <v>5071</v>
      </c>
      <c r="Q902" t="s">
        <v>5731</v>
      </c>
      <c r="R902" t="s">
        <v>5751</v>
      </c>
      <c r="T902" t="s">
        <v>4276</v>
      </c>
      <c r="V902" t="s">
        <v>5767</v>
      </c>
      <c r="X902" t="s">
        <v>121</v>
      </c>
      <c r="Y902">
        <v>691.3099999999999</v>
      </c>
      <c r="Z902" t="s">
        <v>5803</v>
      </c>
      <c r="AA902" t="s">
        <v>5805</v>
      </c>
      <c r="AC902" t="s">
        <v>6658</v>
      </c>
      <c r="AE902" t="s">
        <v>8638</v>
      </c>
      <c r="AF902">
        <v>5860</v>
      </c>
      <c r="AG902" t="s">
        <v>9273</v>
      </c>
      <c r="AH902" t="s">
        <v>4280</v>
      </c>
      <c r="AI902">
        <v>19</v>
      </c>
      <c r="AJ902">
        <v>1</v>
      </c>
      <c r="AK902">
        <v>0</v>
      </c>
      <c r="AL902">
        <v>192.15</v>
      </c>
      <c r="AO902" t="s">
        <v>1425</v>
      </c>
      <c r="AP902">
        <v>24000</v>
      </c>
      <c r="AV902">
        <v>11.24</v>
      </c>
      <c r="AW902" t="s">
        <v>54</v>
      </c>
    </row>
    <row r="903" spans="1:49">
      <c r="A903" s="1">
        <f>HYPERLINK("https://cms.ls-nyc.org/matter/dynamic-profile/view/1895879","19-1895879")</f>
        <v>0</v>
      </c>
      <c r="B903" t="s">
        <v>70</v>
      </c>
      <c r="C903" t="s">
        <v>83</v>
      </c>
      <c r="D903" t="s">
        <v>105</v>
      </c>
      <c r="F903" t="s">
        <v>993</v>
      </c>
      <c r="G903" t="s">
        <v>2056</v>
      </c>
      <c r="H903" t="s">
        <v>2563</v>
      </c>
      <c r="I903" t="s">
        <v>3888</v>
      </c>
      <c r="J903" t="s">
        <v>4222</v>
      </c>
      <c r="K903">
        <v>11433</v>
      </c>
      <c r="L903" t="s">
        <v>4275</v>
      </c>
      <c r="M903" t="s">
        <v>4275</v>
      </c>
      <c r="O903" t="s">
        <v>4281</v>
      </c>
      <c r="P903" t="s">
        <v>5072</v>
      </c>
      <c r="Q903" t="s">
        <v>5732</v>
      </c>
      <c r="R903" t="s">
        <v>5751</v>
      </c>
      <c r="T903" t="s">
        <v>4276</v>
      </c>
      <c r="V903" t="s">
        <v>5768</v>
      </c>
      <c r="W903" t="s">
        <v>5772</v>
      </c>
      <c r="Y903">
        <v>0</v>
      </c>
      <c r="Z903" t="s">
        <v>5803</v>
      </c>
      <c r="AA903" t="s">
        <v>5805</v>
      </c>
      <c r="AC903" t="s">
        <v>6659</v>
      </c>
      <c r="AE903" t="s">
        <v>8639</v>
      </c>
      <c r="AF903">
        <v>0</v>
      </c>
      <c r="AG903" t="s">
        <v>9279</v>
      </c>
      <c r="AH903" t="s">
        <v>4280</v>
      </c>
      <c r="AI903">
        <v>8</v>
      </c>
      <c r="AJ903">
        <v>1</v>
      </c>
      <c r="AK903">
        <v>0</v>
      </c>
      <c r="AL903">
        <v>200.16</v>
      </c>
      <c r="AO903" t="s">
        <v>1425</v>
      </c>
      <c r="AP903">
        <v>25000</v>
      </c>
      <c r="AV903">
        <v>6.4</v>
      </c>
      <c r="AW903" t="s">
        <v>9551</v>
      </c>
    </row>
    <row r="904" spans="1:49">
      <c r="A904" s="1">
        <f>HYPERLINK("https://cms.ls-nyc.org/matter/dynamic-profile/view/1896144","19-1896144")</f>
        <v>0</v>
      </c>
      <c r="B904" t="s">
        <v>70</v>
      </c>
      <c r="C904" t="s">
        <v>83</v>
      </c>
      <c r="D904" t="s">
        <v>132</v>
      </c>
      <c r="F904" t="s">
        <v>643</v>
      </c>
      <c r="G904" t="s">
        <v>2058</v>
      </c>
      <c r="H904" t="s">
        <v>3267</v>
      </c>
      <c r="I904" t="s">
        <v>3867</v>
      </c>
      <c r="J904" t="s">
        <v>4222</v>
      </c>
      <c r="K904">
        <v>11433</v>
      </c>
      <c r="L904" t="s">
        <v>4275</v>
      </c>
      <c r="M904" t="s">
        <v>4275</v>
      </c>
      <c r="O904" t="s">
        <v>4281</v>
      </c>
      <c r="P904" t="s">
        <v>5073</v>
      </c>
      <c r="Q904" t="s">
        <v>5732</v>
      </c>
      <c r="R904" t="s">
        <v>5751</v>
      </c>
      <c r="T904" t="s">
        <v>4276</v>
      </c>
      <c r="V904" t="s">
        <v>5767</v>
      </c>
      <c r="W904" t="s">
        <v>5772</v>
      </c>
      <c r="X904" t="s">
        <v>132</v>
      </c>
      <c r="Y904">
        <v>1000</v>
      </c>
      <c r="Z904" t="s">
        <v>5803</v>
      </c>
      <c r="AA904" t="s">
        <v>5805</v>
      </c>
      <c r="AC904" t="s">
        <v>6660</v>
      </c>
      <c r="AD904" t="s">
        <v>4700</v>
      </c>
      <c r="AE904" t="s">
        <v>8640</v>
      </c>
      <c r="AF904">
        <v>3</v>
      </c>
      <c r="AG904" t="s">
        <v>9270</v>
      </c>
      <c r="AH904" t="s">
        <v>4280</v>
      </c>
      <c r="AI904">
        <v>3</v>
      </c>
      <c r="AJ904">
        <v>1</v>
      </c>
      <c r="AK904">
        <v>0</v>
      </c>
      <c r="AL904">
        <v>200.16</v>
      </c>
      <c r="AO904" t="s">
        <v>1425</v>
      </c>
      <c r="AP904">
        <v>25000</v>
      </c>
      <c r="AV904">
        <v>25.5</v>
      </c>
      <c r="AW904" t="s">
        <v>54</v>
      </c>
    </row>
    <row r="905" spans="1:49">
      <c r="A905" s="1">
        <f>HYPERLINK("https://cms.ls-nyc.org/matter/dynamic-profile/view/1896964","19-1896964")</f>
        <v>0</v>
      </c>
      <c r="B905" t="s">
        <v>70</v>
      </c>
      <c r="C905" t="s">
        <v>83</v>
      </c>
      <c r="D905" t="s">
        <v>240</v>
      </c>
      <c r="F905" t="s">
        <v>643</v>
      </c>
      <c r="G905" t="s">
        <v>2058</v>
      </c>
      <c r="H905" t="s">
        <v>3267</v>
      </c>
      <c r="I905" t="s">
        <v>3867</v>
      </c>
      <c r="J905" t="s">
        <v>4222</v>
      </c>
      <c r="K905">
        <v>11433</v>
      </c>
      <c r="L905" t="s">
        <v>4275</v>
      </c>
      <c r="M905" t="s">
        <v>4275</v>
      </c>
      <c r="O905" t="s">
        <v>4281</v>
      </c>
      <c r="P905" t="s">
        <v>5074</v>
      </c>
      <c r="Q905" t="s">
        <v>5732</v>
      </c>
      <c r="R905" t="s">
        <v>5751</v>
      </c>
      <c r="T905" t="s">
        <v>4276</v>
      </c>
      <c r="V905" t="s">
        <v>5767</v>
      </c>
      <c r="W905" t="s">
        <v>5772</v>
      </c>
      <c r="X905" t="s">
        <v>132</v>
      </c>
      <c r="Y905">
        <v>1000</v>
      </c>
      <c r="Z905" t="s">
        <v>5803</v>
      </c>
      <c r="AA905" t="s">
        <v>5805</v>
      </c>
      <c r="AC905" t="s">
        <v>6660</v>
      </c>
      <c r="AD905" t="s">
        <v>4700</v>
      </c>
      <c r="AE905" t="s">
        <v>8640</v>
      </c>
      <c r="AF905">
        <v>3</v>
      </c>
      <c r="AG905" t="s">
        <v>9269</v>
      </c>
      <c r="AH905" t="s">
        <v>4280</v>
      </c>
      <c r="AI905">
        <v>3</v>
      </c>
      <c r="AJ905">
        <v>1</v>
      </c>
      <c r="AK905">
        <v>0</v>
      </c>
      <c r="AL905">
        <v>200.16</v>
      </c>
      <c r="AO905" t="s">
        <v>1425</v>
      </c>
      <c r="AP905">
        <v>25000</v>
      </c>
      <c r="AV905">
        <v>5.5</v>
      </c>
      <c r="AW905" t="s">
        <v>70</v>
      </c>
    </row>
    <row r="906" spans="1:49">
      <c r="A906" s="1">
        <f>HYPERLINK("https://cms.ls-nyc.org/matter/dynamic-profile/view/1899526","19-1899526")</f>
        <v>0</v>
      </c>
      <c r="B906" t="s">
        <v>70</v>
      </c>
      <c r="C906" t="s">
        <v>83</v>
      </c>
      <c r="D906" t="s">
        <v>124</v>
      </c>
      <c r="F906" t="s">
        <v>994</v>
      </c>
      <c r="G906" t="s">
        <v>2059</v>
      </c>
      <c r="H906" t="s">
        <v>3268</v>
      </c>
      <c r="J906" t="s">
        <v>4222</v>
      </c>
      <c r="K906">
        <v>11434</v>
      </c>
      <c r="L906" t="s">
        <v>4275</v>
      </c>
      <c r="M906" t="s">
        <v>4277</v>
      </c>
      <c r="O906" t="s">
        <v>4282</v>
      </c>
      <c r="P906" t="s">
        <v>5075</v>
      </c>
      <c r="R906" t="s">
        <v>5751</v>
      </c>
      <c r="T906" t="s">
        <v>4276</v>
      </c>
      <c r="V906" t="s">
        <v>5767</v>
      </c>
      <c r="W906" t="s">
        <v>5772</v>
      </c>
      <c r="X906" t="s">
        <v>124</v>
      </c>
      <c r="Y906">
        <v>2300</v>
      </c>
      <c r="Z906" t="s">
        <v>5803</v>
      </c>
      <c r="AA906" t="s">
        <v>5805</v>
      </c>
      <c r="AC906" t="s">
        <v>6661</v>
      </c>
      <c r="AD906" t="s">
        <v>7616</v>
      </c>
      <c r="AE906" t="s">
        <v>8641</v>
      </c>
      <c r="AF906">
        <v>2</v>
      </c>
      <c r="AG906" t="s">
        <v>9269</v>
      </c>
      <c r="AH906" t="s">
        <v>9282</v>
      </c>
      <c r="AI906">
        <v>1</v>
      </c>
      <c r="AJ906">
        <v>3</v>
      </c>
      <c r="AK906">
        <v>0</v>
      </c>
      <c r="AL906">
        <v>212.71</v>
      </c>
      <c r="AM906" t="s">
        <v>97</v>
      </c>
      <c r="AN906" t="s">
        <v>9293</v>
      </c>
      <c r="AO906" t="s">
        <v>1425</v>
      </c>
      <c r="AP906">
        <v>45371.51</v>
      </c>
      <c r="AV906">
        <v>20.9</v>
      </c>
      <c r="AW906" t="s">
        <v>62</v>
      </c>
    </row>
    <row r="907" spans="1:49">
      <c r="A907" s="1">
        <f>HYPERLINK("https://cms.ls-nyc.org/matter/dynamic-profile/view/1897623","19-1897623")</f>
        <v>0</v>
      </c>
      <c r="B907" t="s">
        <v>70</v>
      </c>
      <c r="C907" t="s">
        <v>83</v>
      </c>
      <c r="D907" t="s">
        <v>107</v>
      </c>
      <c r="F907" t="s">
        <v>995</v>
      </c>
      <c r="G907" t="s">
        <v>2060</v>
      </c>
      <c r="H907" t="s">
        <v>3269</v>
      </c>
      <c r="J907" t="s">
        <v>4222</v>
      </c>
      <c r="K907">
        <v>11434</v>
      </c>
      <c r="L907" t="s">
        <v>4275</v>
      </c>
      <c r="M907" t="s">
        <v>4275</v>
      </c>
      <c r="O907" t="s">
        <v>4281</v>
      </c>
      <c r="P907" t="s">
        <v>5076</v>
      </c>
      <c r="Q907" t="s">
        <v>5731</v>
      </c>
      <c r="R907" t="s">
        <v>5751</v>
      </c>
      <c r="T907" t="s">
        <v>4276</v>
      </c>
      <c r="V907" t="s">
        <v>5767</v>
      </c>
      <c r="W907" t="s">
        <v>5772</v>
      </c>
      <c r="X907" t="s">
        <v>107</v>
      </c>
      <c r="Y907">
        <v>1425</v>
      </c>
      <c r="Z907" t="s">
        <v>5803</v>
      </c>
      <c r="AA907" t="s">
        <v>5805</v>
      </c>
      <c r="AC907" t="s">
        <v>6662</v>
      </c>
      <c r="AE907" t="s">
        <v>8642</v>
      </c>
      <c r="AF907">
        <v>0</v>
      </c>
      <c r="AG907" t="s">
        <v>9272</v>
      </c>
      <c r="AH907" t="s">
        <v>4280</v>
      </c>
      <c r="AI907">
        <v>4</v>
      </c>
      <c r="AJ907">
        <v>1</v>
      </c>
      <c r="AK907">
        <v>0</v>
      </c>
      <c r="AL907">
        <v>237.31</v>
      </c>
      <c r="AM907" t="s">
        <v>97</v>
      </c>
      <c r="AN907" t="s">
        <v>9293</v>
      </c>
      <c r="AO907" t="s">
        <v>1425</v>
      </c>
      <c r="AP907">
        <v>29640</v>
      </c>
      <c r="AV907">
        <v>16.8</v>
      </c>
      <c r="AW907" t="s">
        <v>54</v>
      </c>
    </row>
    <row r="908" spans="1:49">
      <c r="A908" s="1">
        <f>HYPERLINK("https://cms.ls-nyc.org/matter/dynamic-profile/view/1896140","19-1896140")</f>
        <v>0</v>
      </c>
      <c r="B908" t="s">
        <v>70</v>
      </c>
      <c r="C908" t="s">
        <v>82</v>
      </c>
      <c r="D908" t="s">
        <v>132</v>
      </c>
      <c r="E908" t="s">
        <v>155</v>
      </c>
      <c r="F908" t="s">
        <v>996</v>
      </c>
      <c r="G908" t="s">
        <v>2061</v>
      </c>
      <c r="H908" t="s">
        <v>3270</v>
      </c>
      <c r="I908" t="s">
        <v>3847</v>
      </c>
      <c r="J908" t="s">
        <v>4240</v>
      </c>
      <c r="K908">
        <v>11373</v>
      </c>
      <c r="L908" t="s">
        <v>4275</v>
      </c>
      <c r="M908" t="s">
        <v>4275</v>
      </c>
      <c r="O908" t="s">
        <v>4281</v>
      </c>
      <c r="P908" t="s">
        <v>5077</v>
      </c>
      <c r="Q908" t="s">
        <v>5731</v>
      </c>
      <c r="R908" t="s">
        <v>5753</v>
      </c>
      <c r="S908" t="s">
        <v>5759</v>
      </c>
      <c r="T908" t="s">
        <v>4276</v>
      </c>
      <c r="V908" t="s">
        <v>5767</v>
      </c>
      <c r="W908" t="s">
        <v>5772</v>
      </c>
      <c r="X908" t="s">
        <v>132</v>
      </c>
      <c r="Y908">
        <v>1600</v>
      </c>
      <c r="Z908" t="s">
        <v>5803</v>
      </c>
      <c r="AA908" t="s">
        <v>5805</v>
      </c>
      <c r="AB908" t="s">
        <v>5821</v>
      </c>
      <c r="AC908" t="s">
        <v>5898</v>
      </c>
      <c r="AE908" t="s">
        <v>8643</v>
      </c>
      <c r="AF908">
        <v>115</v>
      </c>
      <c r="AG908" t="s">
        <v>9269</v>
      </c>
      <c r="AH908" t="s">
        <v>4280</v>
      </c>
      <c r="AI908">
        <v>1</v>
      </c>
      <c r="AJ908">
        <v>2</v>
      </c>
      <c r="AK908">
        <v>1</v>
      </c>
      <c r="AL908">
        <v>328.18</v>
      </c>
      <c r="AO908" t="s">
        <v>1425</v>
      </c>
      <c r="AP908">
        <v>70000</v>
      </c>
      <c r="AV908">
        <v>0.5</v>
      </c>
      <c r="AW908" t="s">
        <v>54</v>
      </c>
    </row>
    <row r="909" spans="1:49">
      <c r="A909" s="1">
        <f>HYPERLINK("https://cms.ls-nyc.org/matter/dynamic-profile/view/1899451","19-1899451")</f>
        <v>0</v>
      </c>
      <c r="B909" t="s">
        <v>70</v>
      </c>
      <c r="C909" t="s">
        <v>83</v>
      </c>
      <c r="D909" t="s">
        <v>124</v>
      </c>
      <c r="F909" t="s">
        <v>498</v>
      </c>
      <c r="G909" t="s">
        <v>469</v>
      </c>
      <c r="H909" t="s">
        <v>3271</v>
      </c>
      <c r="I909" t="s">
        <v>4034</v>
      </c>
      <c r="J909" t="s">
        <v>4222</v>
      </c>
      <c r="K909">
        <v>11434</v>
      </c>
      <c r="L909" t="s">
        <v>4275</v>
      </c>
      <c r="M909" t="s">
        <v>4277</v>
      </c>
      <c r="N909" t="s">
        <v>4278</v>
      </c>
      <c r="O909" t="s">
        <v>4281</v>
      </c>
      <c r="P909" t="s">
        <v>5078</v>
      </c>
      <c r="Q909" t="s">
        <v>5731</v>
      </c>
      <c r="R909" t="s">
        <v>5751</v>
      </c>
      <c r="T909" t="s">
        <v>4276</v>
      </c>
      <c r="V909" t="s">
        <v>5767</v>
      </c>
      <c r="Y909">
        <v>1020.36</v>
      </c>
      <c r="Z909" t="s">
        <v>5803</v>
      </c>
      <c r="AA909" t="s">
        <v>5805</v>
      </c>
      <c r="AC909" t="s">
        <v>6663</v>
      </c>
      <c r="AE909" t="s">
        <v>7289</v>
      </c>
      <c r="AF909">
        <v>0</v>
      </c>
      <c r="AG909" t="s">
        <v>9273</v>
      </c>
      <c r="AH909" t="s">
        <v>4280</v>
      </c>
      <c r="AI909">
        <v>26</v>
      </c>
      <c r="AJ909">
        <v>2</v>
      </c>
      <c r="AK909">
        <v>0</v>
      </c>
      <c r="AL909">
        <v>358.37</v>
      </c>
      <c r="AM909" t="s">
        <v>97</v>
      </c>
      <c r="AN909" t="s">
        <v>9293</v>
      </c>
      <c r="AO909" t="s">
        <v>1425</v>
      </c>
      <c r="AP909">
        <v>60600</v>
      </c>
      <c r="AV909">
        <v>6.3</v>
      </c>
      <c r="AW909" t="s">
        <v>54</v>
      </c>
    </row>
    <row r="910" spans="1:49">
      <c r="A910" s="1">
        <f>HYPERLINK("https://cms.ls-nyc.org/matter/dynamic-profile/view/1876639","18-1876639")</f>
        <v>0</v>
      </c>
      <c r="B910" t="s">
        <v>71</v>
      </c>
      <c r="C910" t="s">
        <v>82</v>
      </c>
      <c r="D910" t="s">
        <v>178</v>
      </c>
      <c r="E910" t="s">
        <v>189</v>
      </c>
      <c r="F910" t="s">
        <v>807</v>
      </c>
      <c r="G910" t="s">
        <v>2062</v>
      </c>
      <c r="H910" t="s">
        <v>3272</v>
      </c>
      <c r="I910" t="s">
        <v>4104</v>
      </c>
      <c r="J910" t="s">
        <v>4243</v>
      </c>
      <c r="K910">
        <v>11691</v>
      </c>
      <c r="L910" t="s">
        <v>4275</v>
      </c>
      <c r="M910" t="s">
        <v>4275</v>
      </c>
      <c r="O910" t="s">
        <v>4283</v>
      </c>
      <c r="P910" t="s">
        <v>5079</v>
      </c>
      <c r="Q910" t="s">
        <v>5732</v>
      </c>
      <c r="R910" t="s">
        <v>5753</v>
      </c>
      <c r="S910" t="s">
        <v>5759</v>
      </c>
      <c r="T910" t="s">
        <v>4276</v>
      </c>
      <c r="V910" t="s">
        <v>5767</v>
      </c>
      <c r="W910" t="s">
        <v>5771</v>
      </c>
      <c r="X910" t="s">
        <v>178</v>
      </c>
      <c r="Y910">
        <v>950</v>
      </c>
      <c r="Z910" t="s">
        <v>5803</v>
      </c>
      <c r="AA910" t="s">
        <v>5804</v>
      </c>
      <c r="AB910" t="s">
        <v>5821</v>
      </c>
      <c r="AC910" t="s">
        <v>6664</v>
      </c>
      <c r="AD910" t="s">
        <v>7617</v>
      </c>
      <c r="AE910" t="s">
        <v>8644</v>
      </c>
      <c r="AF910">
        <v>2</v>
      </c>
      <c r="AG910" t="s">
        <v>9269</v>
      </c>
      <c r="AH910" t="s">
        <v>4280</v>
      </c>
      <c r="AI910">
        <v>20</v>
      </c>
      <c r="AJ910">
        <v>2</v>
      </c>
      <c r="AK910">
        <v>0</v>
      </c>
      <c r="AL910">
        <v>0</v>
      </c>
      <c r="AO910" t="s">
        <v>1425</v>
      </c>
      <c r="AP910">
        <v>0</v>
      </c>
      <c r="AV910">
        <v>1</v>
      </c>
      <c r="AW910" t="s">
        <v>73</v>
      </c>
    </row>
    <row r="911" spans="1:49">
      <c r="A911" s="1">
        <f>HYPERLINK("https://cms.ls-nyc.org/matter/dynamic-profile/view/1879327","18-1879327")</f>
        <v>0</v>
      </c>
      <c r="B911" t="s">
        <v>71</v>
      </c>
      <c r="C911" t="s">
        <v>82</v>
      </c>
      <c r="D911" t="s">
        <v>220</v>
      </c>
      <c r="E911" t="s">
        <v>189</v>
      </c>
      <c r="F911" t="s">
        <v>659</v>
      </c>
      <c r="G911" t="s">
        <v>2063</v>
      </c>
      <c r="H911" t="s">
        <v>3273</v>
      </c>
      <c r="I911" t="s">
        <v>3866</v>
      </c>
      <c r="J911" t="s">
        <v>4239</v>
      </c>
      <c r="K911">
        <v>11420</v>
      </c>
      <c r="L911" t="s">
        <v>4275</v>
      </c>
      <c r="M911" t="s">
        <v>4275</v>
      </c>
      <c r="O911" t="s">
        <v>4282</v>
      </c>
      <c r="P911" t="s">
        <v>5080</v>
      </c>
      <c r="Q911" t="s">
        <v>5732</v>
      </c>
      <c r="R911" t="s">
        <v>5753</v>
      </c>
      <c r="S911" t="s">
        <v>5759</v>
      </c>
      <c r="T911" t="s">
        <v>4276</v>
      </c>
      <c r="V911" t="s">
        <v>5767</v>
      </c>
      <c r="X911" t="s">
        <v>265</v>
      </c>
      <c r="Y911">
        <v>1500</v>
      </c>
      <c r="Z911" t="s">
        <v>5803</v>
      </c>
      <c r="AA911" t="s">
        <v>5804</v>
      </c>
      <c r="AB911" t="s">
        <v>5821</v>
      </c>
      <c r="AC911" t="s">
        <v>6665</v>
      </c>
      <c r="AD911" t="s">
        <v>4700</v>
      </c>
      <c r="AE911" t="s">
        <v>8645</v>
      </c>
      <c r="AF911">
        <v>2</v>
      </c>
      <c r="AG911" t="s">
        <v>9270</v>
      </c>
      <c r="AH911" t="s">
        <v>4280</v>
      </c>
      <c r="AI911">
        <v>11</v>
      </c>
      <c r="AJ911">
        <v>3</v>
      </c>
      <c r="AK911">
        <v>2</v>
      </c>
      <c r="AL911">
        <v>0</v>
      </c>
      <c r="AO911" t="s">
        <v>1425</v>
      </c>
      <c r="AP911">
        <v>0</v>
      </c>
      <c r="AV911">
        <v>0.6</v>
      </c>
      <c r="AW911" t="s">
        <v>54</v>
      </c>
    </row>
    <row r="912" spans="1:49">
      <c r="A912" s="1">
        <f>HYPERLINK("https://cms.ls-nyc.org/matter/dynamic-profile/view/1881940","18-1881940")</f>
        <v>0</v>
      </c>
      <c r="B912" t="s">
        <v>71</v>
      </c>
      <c r="C912" t="s">
        <v>82</v>
      </c>
      <c r="D912" t="s">
        <v>170</v>
      </c>
      <c r="E912" t="s">
        <v>189</v>
      </c>
      <c r="F912" t="s">
        <v>997</v>
      </c>
      <c r="G912" t="s">
        <v>2064</v>
      </c>
      <c r="H912" t="s">
        <v>3274</v>
      </c>
      <c r="I912" t="s">
        <v>4105</v>
      </c>
      <c r="J912" t="s">
        <v>4262</v>
      </c>
      <c r="K912">
        <v>11414</v>
      </c>
      <c r="L912" t="s">
        <v>4275</v>
      </c>
      <c r="M912" t="s">
        <v>4275</v>
      </c>
      <c r="O912" t="s">
        <v>4282</v>
      </c>
      <c r="P912" t="s">
        <v>5081</v>
      </c>
      <c r="Q912" t="s">
        <v>5732</v>
      </c>
      <c r="R912" t="s">
        <v>5753</v>
      </c>
      <c r="S912" t="s">
        <v>5759</v>
      </c>
      <c r="T912" t="s">
        <v>4276</v>
      </c>
      <c r="V912" t="s">
        <v>5767</v>
      </c>
      <c r="W912" t="s">
        <v>5772</v>
      </c>
      <c r="X912" t="s">
        <v>170</v>
      </c>
      <c r="Y912">
        <v>0</v>
      </c>
      <c r="Z912" t="s">
        <v>5803</v>
      </c>
      <c r="AA912" t="s">
        <v>5804</v>
      </c>
      <c r="AB912" t="s">
        <v>5821</v>
      </c>
      <c r="AC912" t="s">
        <v>6666</v>
      </c>
      <c r="AE912" t="s">
        <v>8646</v>
      </c>
      <c r="AF912">
        <v>1</v>
      </c>
      <c r="AG912" t="s">
        <v>9269</v>
      </c>
      <c r="AH912" t="s">
        <v>4280</v>
      </c>
      <c r="AI912">
        <v>40</v>
      </c>
      <c r="AJ912">
        <v>1</v>
      </c>
      <c r="AK912">
        <v>0</v>
      </c>
      <c r="AL912">
        <v>0</v>
      </c>
      <c r="AO912" t="s">
        <v>1425</v>
      </c>
      <c r="AP912">
        <v>0</v>
      </c>
      <c r="AV912">
        <v>1</v>
      </c>
      <c r="AW912" t="s">
        <v>73</v>
      </c>
    </row>
    <row r="913" spans="1:49">
      <c r="A913" s="1">
        <f>HYPERLINK("https://cms.ls-nyc.org/matter/dynamic-profile/view/1884106","18-1884106")</f>
        <v>0</v>
      </c>
      <c r="B913" t="s">
        <v>71</v>
      </c>
      <c r="C913" t="s">
        <v>82</v>
      </c>
      <c r="D913" t="s">
        <v>222</v>
      </c>
      <c r="E913" t="s">
        <v>187</v>
      </c>
      <c r="F913" t="s">
        <v>344</v>
      </c>
      <c r="G913" t="s">
        <v>2065</v>
      </c>
      <c r="H913" t="s">
        <v>3275</v>
      </c>
      <c r="J913" t="s">
        <v>4262</v>
      </c>
      <c r="K913">
        <v>11414</v>
      </c>
      <c r="L913" t="s">
        <v>4275</v>
      </c>
      <c r="M913" t="s">
        <v>4275</v>
      </c>
      <c r="O913" t="s">
        <v>4282</v>
      </c>
      <c r="P913" t="s">
        <v>5082</v>
      </c>
      <c r="Q913" t="s">
        <v>5731</v>
      </c>
      <c r="R913" t="s">
        <v>5753</v>
      </c>
      <c r="S913" t="s">
        <v>5759</v>
      </c>
      <c r="T913" t="s">
        <v>4276</v>
      </c>
      <c r="V913" t="s">
        <v>5767</v>
      </c>
      <c r="W913" t="s">
        <v>5771</v>
      </c>
      <c r="X913" t="s">
        <v>255</v>
      </c>
      <c r="Y913">
        <v>1600</v>
      </c>
      <c r="Z913" t="s">
        <v>5803</v>
      </c>
      <c r="AA913" t="s">
        <v>5804</v>
      </c>
      <c r="AB913" t="s">
        <v>5821</v>
      </c>
      <c r="AC913" t="s">
        <v>6667</v>
      </c>
      <c r="AE913" t="s">
        <v>8647</v>
      </c>
      <c r="AF913">
        <v>2</v>
      </c>
      <c r="AG913" t="s">
        <v>9270</v>
      </c>
      <c r="AH913" t="s">
        <v>4280</v>
      </c>
      <c r="AI913">
        <v>18</v>
      </c>
      <c r="AJ913">
        <v>1</v>
      </c>
      <c r="AK913">
        <v>0</v>
      </c>
      <c r="AL913">
        <v>0</v>
      </c>
      <c r="AO913" t="s">
        <v>1425</v>
      </c>
      <c r="AP913">
        <v>0</v>
      </c>
      <c r="AV913">
        <v>0.5</v>
      </c>
      <c r="AW913" t="s">
        <v>54</v>
      </c>
    </row>
    <row r="914" spans="1:49">
      <c r="A914" s="1">
        <f>HYPERLINK("https://cms.ls-nyc.org/matter/dynamic-profile/view/1886373","18-1886373")</f>
        <v>0</v>
      </c>
      <c r="B914" t="s">
        <v>71</v>
      </c>
      <c r="C914" t="s">
        <v>82</v>
      </c>
      <c r="D914" t="s">
        <v>235</v>
      </c>
      <c r="E914" t="s">
        <v>303</v>
      </c>
      <c r="F914" t="s">
        <v>998</v>
      </c>
      <c r="G914" t="s">
        <v>1761</v>
      </c>
      <c r="H914" t="s">
        <v>3276</v>
      </c>
      <c r="I914" t="s">
        <v>3864</v>
      </c>
      <c r="J914" t="s">
        <v>4250</v>
      </c>
      <c r="K914">
        <v>11412</v>
      </c>
      <c r="L914" t="s">
        <v>4275</v>
      </c>
      <c r="M914" t="s">
        <v>4275</v>
      </c>
      <c r="O914" t="s">
        <v>4282</v>
      </c>
      <c r="P914" t="s">
        <v>5083</v>
      </c>
      <c r="Q914" t="s">
        <v>5732</v>
      </c>
      <c r="R914" t="s">
        <v>5753</v>
      </c>
      <c r="S914" t="s">
        <v>5759</v>
      </c>
      <c r="T914" t="s">
        <v>4276</v>
      </c>
      <c r="V914" t="s">
        <v>5767</v>
      </c>
      <c r="W914" t="s">
        <v>5774</v>
      </c>
      <c r="X914" t="s">
        <v>235</v>
      </c>
      <c r="Y914">
        <v>0</v>
      </c>
      <c r="Z914" t="s">
        <v>5803</v>
      </c>
      <c r="AA914" t="s">
        <v>5808</v>
      </c>
      <c r="AB914" t="s">
        <v>5821</v>
      </c>
      <c r="AC914" t="s">
        <v>6668</v>
      </c>
      <c r="AF914">
        <v>6</v>
      </c>
      <c r="AG914" t="s">
        <v>9269</v>
      </c>
      <c r="AH914" t="s">
        <v>4280</v>
      </c>
      <c r="AI914">
        <v>2</v>
      </c>
      <c r="AJ914">
        <v>1</v>
      </c>
      <c r="AK914">
        <v>0</v>
      </c>
      <c r="AL914">
        <v>0</v>
      </c>
      <c r="AO914" t="s">
        <v>1425</v>
      </c>
      <c r="AP914">
        <v>0</v>
      </c>
      <c r="AV914">
        <v>1</v>
      </c>
      <c r="AW914" t="s">
        <v>73</v>
      </c>
    </row>
    <row r="915" spans="1:49">
      <c r="A915" s="1">
        <f>HYPERLINK("https://cms.ls-nyc.org/matter/dynamic-profile/view/1879321","18-1879321")</f>
        <v>0</v>
      </c>
      <c r="B915" t="s">
        <v>71</v>
      </c>
      <c r="C915" t="s">
        <v>82</v>
      </c>
      <c r="D915" t="s">
        <v>220</v>
      </c>
      <c r="E915" t="s">
        <v>99</v>
      </c>
      <c r="F915" t="s">
        <v>340</v>
      </c>
      <c r="G915" t="s">
        <v>2066</v>
      </c>
      <c r="H915" t="s">
        <v>3277</v>
      </c>
      <c r="J915" t="s">
        <v>4257</v>
      </c>
      <c r="K915">
        <v>11379</v>
      </c>
      <c r="L915" t="s">
        <v>4275</v>
      </c>
      <c r="M915" t="s">
        <v>4275</v>
      </c>
      <c r="N915" t="s">
        <v>4278</v>
      </c>
      <c r="O915" t="s">
        <v>4282</v>
      </c>
      <c r="P915" t="s">
        <v>5084</v>
      </c>
      <c r="Q915" t="s">
        <v>5732</v>
      </c>
      <c r="R915" t="s">
        <v>5751</v>
      </c>
      <c r="S915" t="s">
        <v>5758</v>
      </c>
      <c r="T915" t="s">
        <v>4276</v>
      </c>
      <c r="V915" t="s">
        <v>5767</v>
      </c>
      <c r="W915" t="s">
        <v>5772</v>
      </c>
      <c r="X915" t="s">
        <v>220</v>
      </c>
      <c r="Y915">
        <v>1200</v>
      </c>
      <c r="Z915" t="s">
        <v>5803</v>
      </c>
      <c r="AA915" t="s">
        <v>5804</v>
      </c>
      <c r="AB915" t="s">
        <v>5822</v>
      </c>
      <c r="AC915" t="s">
        <v>6669</v>
      </c>
      <c r="AE915" t="s">
        <v>8648</v>
      </c>
      <c r="AF915">
        <v>3</v>
      </c>
      <c r="AG915" t="s">
        <v>9269</v>
      </c>
      <c r="AH915" t="s">
        <v>4280</v>
      </c>
      <c r="AI915">
        <v>3</v>
      </c>
      <c r="AJ915">
        <v>1</v>
      </c>
      <c r="AK915">
        <v>0</v>
      </c>
      <c r="AL915">
        <v>0</v>
      </c>
      <c r="AO915" t="s">
        <v>1425</v>
      </c>
      <c r="AP915">
        <v>0</v>
      </c>
      <c r="AR915" t="s">
        <v>9329</v>
      </c>
      <c r="AS915" t="s">
        <v>9348</v>
      </c>
      <c r="AT915" t="s">
        <v>9370</v>
      </c>
      <c r="AU915" t="s">
        <v>9482</v>
      </c>
      <c r="AV915">
        <v>21.8</v>
      </c>
      <c r="AW915" t="s">
        <v>73</v>
      </c>
    </row>
    <row r="916" spans="1:49">
      <c r="A916" s="1">
        <f>HYPERLINK("https://cms.ls-nyc.org/matter/dynamic-profile/view/1874446","18-1874446")</f>
        <v>0</v>
      </c>
      <c r="B916" t="s">
        <v>71</v>
      </c>
      <c r="C916" t="s">
        <v>82</v>
      </c>
      <c r="D916" t="s">
        <v>212</v>
      </c>
      <c r="E916" t="s">
        <v>207</v>
      </c>
      <c r="F916" t="s">
        <v>999</v>
      </c>
      <c r="G916" t="s">
        <v>2067</v>
      </c>
      <c r="H916" t="s">
        <v>3278</v>
      </c>
      <c r="I916" t="s">
        <v>4106</v>
      </c>
      <c r="J916" t="s">
        <v>4229</v>
      </c>
      <c r="K916">
        <v>11355</v>
      </c>
      <c r="L916" t="s">
        <v>4275</v>
      </c>
      <c r="M916" t="s">
        <v>4275</v>
      </c>
      <c r="O916" t="s">
        <v>4282</v>
      </c>
      <c r="P916" t="s">
        <v>5085</v>
      </c>
      <c r="Q916" t="s">
        <v>5732</v>
      </c>
      <c r="R916" t="s">
        <v>5753</v>
      </c>
      <c r="S916" t="s">
        <v>5759</v>
      </c>
      <c r="T916" t="s">
        <v>4276</v>
      </c>
      <c r="V916" t="s">
        <v>5767</v>
      </c>
      <c r="W916" t="s">
        <v>5772</v>
      </c>
      <c r="X916" t="s">
        <v>212</v>
      </c>
      <c r="Y916">
        <v>438</v>
      </c>
      <c r="Z916" t="s">
        <v>5803</v>
      </c>
      <c r="AA916" t="s">
        <v>5804</v>
      </c>
      <c r="AB916" t="s">
        <v>5821</v>
      </c>
      <c r="AC916" t="s">
        <v>6670</v>
      </c>
      <c r="AD916" t="s">
        <v>4280</v>
      </c>
      <c r="AE916" t="s">
        <v>8649</v>
      </c>
      <c r="AF916">
        <v>191</v>
      </c>
      <c r="AG916" t="s">
        <v>9278</v>
      </c>
      <c r="AH916" t="s">
        <v>4280</v>
      </c>
      <c r="AI916">
        <v>1</v>
      </c>
      <c r="AJ916">
        <v>1</v>
      </c>
      <c r="AK916">
        <v>0</v>
      </c>
      <c r="AL916">
        <v>0</v>
      </c>
      <c r="AO916" t="s">
        <v>1425</v>
      </c>
      <c r="AP916">
        <v>0</v>
      </c>
      <c r="AV916">
        <v>0.5</v>
      </c>
      <c r="AW916" t="s">
        <v>73</v>
      </c>
    </row>
    <row r="917" spans="1:49">
      <c r="A917" s="1">
        <f>HYPERLINK("https://cms.ls-nyc.org/matter/dynamic-profile/view/1876179","18-1876179")</f>
        <v>0</v>
      </c>
      <c r="B917" t="s">
        <v>71</v>
      </c>
      <c r="C917" t="s">
        <v>82</v>
      </c>
      <c r="D917" t="s">
        <v>260</v>
      </c>
      <c r="E917" t="s">
        <v>196</v>
      </c>
      <c r="F917" t="s">
        <v>1000</v>
      </c>
      <c r="G917" t="s">
        <v>1594</v>
      </c>
      <c r="H917" t="s">
        <v>3279</v>
      </c>
      <c r="I917">
        <v>5</v>
      </c>
      <c r="J917" t="s">
        <v>4234</v>
      </c>
      <c r="K917">
        <v>11103</v>
      </c>
      <c r="L917" t="s">
        <v>4275</v>
      </c>
      <c r="M917" t="s">
        <v>4275</v>
      </c>
      <c r="O917" t="s">
        <v>4282</v>
      </c>
      <c r="P917" t="s">
        <v>5086</v>
      </c>
      <c r="Q917" t="s">
        <v>5731</v>
      </c>
      <c r="R917" t="s">
        <v>5751</v>
      </c>
      <c r="S917" t="s">
        <v>5758</v>
      </c>
      <c r="T917" t="s">
        <v>4276</v>
      </c>
      <c r="V917" t="s">
        <v>5767</v>
      </c>
      <c r="W917" t="s">
        <v>5774</v>
      </c>
      <c r="X917" t="s">
        <v>260</v>
      </c>
      <c r="Y917">
        <v>1051</v>
      </c>
      <c r="Z917" t="s">
        <v>5803</v>
      </c>
      <c r="AA917" t="s">
        <v>5804</v>
      </c>
      <c r="AB917" t="s">
        <v>5820</v>
      </c>
      <c r="AC917" t="s">
        <v>6671</v>
      </c>
      <c r="AD917" t="s">
        <v>7618</v>
      </c>
      <c r="AE917" t="s">
        <v>8650</v>
      </c>
      <c r="AF917">
        <v>25</v>
      </c>
      <c r="AG917" t="s">
        <v>9272</v>
      </c>
      <c r="AH917" t="s">
        <v>4280</v>
      </c>
      <c r="AI917">
        <v>20</v>
      </c>
      <c r="AJ917">
        <v>2</v>
      </c>
      <c r="AK917">
        <v>3</v>
      </c>
      <c r="AL917">
        <v>0</v>
      </c>
      <c r="AO917" t="s">
        <v>1425</v>
      </c>
      <c r="AP917">
        <v>0</v>
      </c>
      <c r="AS917" t="s">
        <v>9345</v>
      </c>
      <c r="AT917" t="s">
        <v>9369</v>
      </c>
      <c r="AU917" t="s">
        <v>9515</v>
      </c>
      <c r="AV917">
        <v>8.25</v>
      </c>
      <c r="AW917" t="s">
        <v>73</v>
      </c>
    </row>
    <row r="918" spans="1:49">
      <c r="A918" s="1">
        <f>HYPERLINK("https://cms.ls-nyc.org/matter/dynamic-profile/view/1879353","18-1879353")</f>
        <v>0</v>
      </c>
      <c r="B918" t="s">
        <v>71</v>
      </c>
      <c r="C918" t="s">
        <v>82</v>
      </c>
      <c r="D918" t="s">
        <v>220</v>
      </c>
      <c r="E918" t="s">
        <v>189</v>
      </c>
      <c r="F918" t="s">
        <v>631</v>
      </c>
      <c r="G918" t="s">
        <v>2068</v>
      </c>
      <c r="H918" t="s">
        <v>3280</v>
      </c>
      <c r="I918" t="s">
        <v>3909</v>
      </c>
      <c r="J918" t="s">
        <v>4222</v>
      </c>
      <c r="K918">
        <v>11432</v>
      </c>
      <c r="L918" t="s">
        <v>4275</v>
      </c>
      <c r="M918" t="s">
        <v>4275</v>
      </c>
      <c r="O918" t="s">
        <v>4282</v>
      </c>
      <c r="P918" t="s">
        <v>5087</v>
      </c>
      <c r="Q918" t="s">
        <v>5732</v>
      </c>
      <c r="R918" t="s">
        <v>5753</v>
      </c>
      <c r="S918" t="s">
        <v>5759</v>
      </c>
      <c r="T918" t="s">
        <v>4276</v>
      </c>
      <c r="V918" t="s">
        <v>5767</v>
      </c>
      <c r="W918" t="s">
        <v>5772</v>
      </c>
      <c r="X918" t="s">
        <v>220</v>
      </c>
      <c r="Y918">
        <v>1059</v>
      </c>
      <c r="Z918" t="s">
        <v>5803</v>
      </c>
      <c r="AA918" t="s">
        <v>5804</v>
      </c>
      <c r="AB918" t="s">
        <v>5821</v>
      </c>
      <c r="AC918" t="s">
        <v>6672</v>
      </c>
      <c r="AD918" t="s">
        <v>7619</v>
      </c>
      <c r="AE918" t="s">
        <v>8651</v>
      </c>
      <c r="AF918">
        <v>4</v>
      </c>
      <c r="AG918" t="s">
        <v>9269</v>
      </c>
      <c r="AH918" t="s">
        <v>9282</v>
      </c>
      <c r="AI918">
        <v>17</v>
      </c>
      <c r="AJ918">
        <v>2</v>
      </c>
      <c r="AK918">
        <v>2</v>
      </c>
      <c r="AL918">
        <v>25.9</v>
      </c>
      <c r="AO918" t="s">
        <v>1425</v>
      </c>
      <c r="AP918">
        <v>6500</v>
      </c>
      <c r="AV918">
        <v>0.6</v>
      </c>
      <c r="AW918" t="s">
        <v>73</v>
      </c>
    </row>
    <row r="919" spans="1:49">
      <c r="A919" s="1">
        <f>HYPERLINK("https://cms.ls-nyc.org/matter/dynamic-profile/view/1892693","19-1892693")</f>
        <v>0</v>
      </c>
      <c r="B919" t="s">
        <v>71</v>
      </c>
      <c r="C919" t="s">
        <v>83</v>
      </c>
      <c r="D919" t="s">
        <v>134</v>
      </c>
      <c r="F919" t="s">
        <v>1001</v>
      </c>
      <c r="G919" t="s">
        <v>495</v>
      </c>
      <c r="H919" t="s">
        <v>3281</v>
      </c>
      <c r="I919" t="s">
        <v>3863</v>
      </c>
      <c r="J919" t="s">
        <v>4255</v>
      </c>
      <c r="K919">
        <v>11372</v>
      </c>
      <c r="L919" t="s">
        <v>4275</v>
      </c>
      <c r="M919" t="s">
        <v>4275</v>
      </c>
      <c r="O919" t="s">
        <v>4282</v>
      </c>
      <c r="P919" t="s">
        <v>5088</v>
      </c>
      <c r="Q919" t="s">
        <v>5731</v>
      </c>
      <c r="R919" t="s">
        <v>5751</v>
      </c>
      <c r="T919" t="s">
        <v>4276</v>
      </c>
      <c r="V919" t="s">
        <v>5767</v>
      </c>
      <c r="X919" t="s">
        <v>134</v>
      </c>
      <c r="Y919">
        <v>161.74</v>
      </c>
      <c r="Z919" t="s">
        <v>5803</v>
      </c>
      <c r="AA919" t="s">
        <v>5804</v>
      </c>
      <c r="AC919" t="s">
        <v>6464</v>
      </c>
      <c r="AD919" t="s">
        <v>7620</v>
      </c>
      <c r="AE919" t="s">
        <v>8652</v>
      </c>
      <c r="AF919">
        <v>63</v>
      </c>
      <c r="AG919" t="s">
        <v>9270</v>
      </c>
      <c r="AH919" t="s">
        <v>4280</v>
      </c>
      <c r="AI919">
        <v>35</v>
      </c>
      <c r="AJ919">
        <v>1</v>
      </c>
      <c r="AK919">
        <v>2</v>
      </c>
      <c r="AL919">
        <v>39.74</v>
      </c>
      <c r="AO919" t="s">
        <v>1425</v>
      </c>
      <c r="AP919">
        <v>8476</v>
      </c>
      <c r="AV919">
        <v>45.35</v>
      </c>
      <c r="AW919" t="s">
        <v>54</v>
      </c>
    </row>
    <row r="920" spans="1:49">
      <c r="A920" s="1">
        <f>HYPERLINK("https://cms.ls-nyc.org/matter/dynamic-profile/view/1894479","19-1894479")</f>
        <v>0</v>
      </c>
      <c r="B920" t="s">
        <v>71</v>
      </c>
      <c r="C920" t="s">
        <v>82</v>
      </c>
      <c r="D920" t="s">
        <v>169</v>
      </c>
      <c r="E920" t="s">
        <v>288</v>
      </c>
      <c r="F920" t="s">
        <v>1002</v>
      </c>
      <c r="G920" t="s">
        <v>2069</v>
      </c>
      <c r="H920" t="s">
        <v>3282</v>
      </c>
      <c r="I920">
        <v>108</v>
      </c>
      <c r="J920" t="s">
        <v>4229</v>
      </c>
      <c r="K920">
        <v>11355</v>
      </c>
      <c r="L920" t="s">
        <v>4275</v>
      </c>
      <c r="M920" t="s">
        <v>4275</v>
      </c>
      <c r="N920" t="s">
        <v>4278</v>
      </c>
      <c r="O920" t="s">
        <v>4282</v>
      </c>
      <c r="P920" t="s">
        <v>5089</v>
      </c>
      <c r="Q920" t="s">
        <v>5731</v>
      </c>
      <c r="R920" t="s">
        <v>5753</v>
      </c>
      <c r="S920" t="s">
        <v>5759</v>
      </c>
      <c r="T920" t="s">
        <v>4276</v>
      </c>
      <c r="V920" t="s">
        <v>5767</v>
      </c>
      <c r="W920" t="s">
        <v>5774</v>
      </c>
      <c r="X920" t="s">
        <v>169</v>
      </c>
      <c r="Y920">
        <v>700</v>
      </c>
      <c r="Z920" t="s">
        <v>5803</v>
      </c>
      <c r="AA920" t="s">
        <v>5804</v>
      </c>
      <c r="AB920" t="s">
        <v>5821</v>
      </c>
      <c r="AC920" t="s">
        <v>6673</v>
      </c>
      <c r="AE920" t="s">
        <v>8653</v>
      </c>
      <c r="AF920">
        <v>25</v>
      </c>
      <c r="AG920" t="s">
        <v>9270</v>
      </c>
      <c r="AH920" t="s">
        <v>4280</v>
      </c>
      <c r="AI920">
        <v>7</v>
      </c>
      <c r="AJ920">
        <v>2</v>
      </c>
      <c r="AK920">
        <v>0</v>
      </c>
      <c r="AL920">
        <v>47.31</v>
      </c>
      <c r="AO920" t="s">
        <v>9318</v>
      </c>
      <c r="AP920">
        <v>8000</v>
      </c>
      <c r="AV920">
        <v>1.8</v>
      </c>
      <c r="AW920" t="s">
        <v>54</v>
      </c>
    </row>
    <row r="921" spans="1:49">
      <c r="A921" s="1">
        <f>HYPERLINK("https://cms.ls-nyc.org/matter/dynamic-profile/view/1884010","18-1884010")</f>
        <v>0</v>
      </c>
      <c r="B921" t="s">
        <v>71</v>
      </c>
      <c r="C921" t="s">
        <v>82</v>
      </c>
      <c r="D921" t="s">
        <v>86</v>
      </c>
      <c r="E921" t="s">
        <v>303</v>
      </c>
      <c r="F921" t="s">
        <v>1003</v>
      </c>
      <c r="G921" t="s">
        <v>2070</v>
      </c>
      <c r="H921" t="s">
        <v>3146</v>
      </c>
      <c r="I921">
        <v>13</v>
      </c>
      <c r="J921" t="s">
        <v>4230</v>
      </c>
      <c r="K921">
        <v>11102</v>
      </c>
      <c r="L921" t="s">
        <v>4275</v>
      </c>
      <c r="M921" t="s">
        <v>4275</v>
      </c>
      <c r="O921" t="s">
        <v>4282</v>
      </c>
      <c r="P921" t="s">
        <v>5090</v>
      </c>
      <c r="Q921" t="s">
        <v>5731</v>
      </c>
      <c r="R921" t="s">
        <v>5753</v>
      </c>
      <c r="S921" t="s">
        <v>5759</v>
      </c>
      <c r="T921" t="s">
        <v>4276</v>
      </c>
      <c r="V921" t="s">
        <v>5767</v>
      </c>
      <c r="W921" t="s">
        <v>5773</v>
      </c>
      <c r="X921" t="s">
        <v>86</v>
      </c>
      <c r="Y921">
        <v>1425</v>
      </c>
      <c r="Z921" t="s">
        <v>5803</v>
      </c>
      <c r="AA921" t="s">
        <v>5804</v>
      </c>
      <c r="AB921" t="s">
        <v>5821</v>
      </c>
      <c r="AC921" t="s">
        <v>6674</v>
      </c>
      <c r="AD921" t="s">
        <v>4700</v>
      </c>
      <c r="AE921" t="s">
        <v>8654</v>
      </c>
      <c r="AF921">
        <v>16</v>
      </c>
      <c r="AG921" t="s">
        <v>9272</v>
      </c>
      <c r="AH921" t="s">
        <v>4280</v>
      </c>
      <c r="AI921">
        <v>2</v>
      </c>
      <c r="AJ921">
        <v>2</v>
      </c>
      <c r="AK921">
        <v>2</v>
      </c>
      <c r="AL921">
        <v>47.81</v>
      </c>
      <c r="AO921" t="s">
        <v>1425</v>
      </c>
      <c r="AP921">
        <v>12000</v>
      </c>
      <c r="AV921">
        <v>1</v>
      </c>
      <c r="AW921" t="s">
        <v>73</v>
      </c>
    </row>
    <row r="922" spans="1:49">
      <c r="A922" s="1">
        <f>HYPERLINK("https://cms.ls-nyc.org/matter/dynamic-profile/view/1873369","18-1873369")</f>
        <v>0</v>
      </c>
      <c r="B922" t="s">
        <v>71</v>
      </c>
      <c r="C922" t="s">
        <v>82</v>
      </c>
      <c r="D922" t="s">
        <v>153</v>
      </c>
      <c r="E922" t="s">
        <v>282</v>
      </c>
      <c r="F922" t="s">
        <v>1004</v>
      </c>
      <c r="G922" t="s">
        <v>2071</v>
      </c>
      <c r="H922" t="s">
        <v>3283</v>
      </c>
      <c r="I922" t="s">
        <v>4107</v>
      </c>
      <c r="J922" t="s">
        <v>4240</v>
      </c>
      <c r="K922">
        <v>11373</v>
      </c>
      <c r="L922" t="s">
        <v>4275</v>
      </c>
      <c r="M922" t="s">
        <v>4275</v>
      </c>
      <c r="O922" t="s">
        <v>4281</v>
      </c>
      <c r="P922" t="s">
        <v>5091</v>
      </c>
      <c r="Q922" t="s">
        <v>5731</v>
      </c>
      <c r="R922" t="s">
        <v>5751</v>
      </c>
      <c r="S922" t="s">
        <v>5758</v>
      </c>
      <c r="T922" t="s">
        <v>4276</v>
      </c>
      <c r="V922" t="s">
        <v>5767</v>
      </c>
      <c r="W922" t="s">
        <v>5772</v>
      </c>
      <c r="X922" t="s">
        <v>153</v>
      </c>
      <c r="Y922">
        <v>1088</v>
      </c>
      <c r="Z922" t="s">
        <v>5803</v>
      </c>
      <c r="AA922" t="s">
        <v>5804</v>
      </c>
      <c r="AB922" t="s">
        <v>5820</v>
      </c>
      <c r="AC922" t="s">
        <v>6675</v>
      </c>
      <c r="AD922" t="s">
        <v>7621</v>
      </c>
      <c r="AE922" t="s">
        <v>8655</v>
      </c>
      <c r="AF922">
        <v>36</v>
      </c>
      <c r="AG922" t="s">
        <v>9272</v>
      </c>
      <c r="AH922" t="s">
        <v>4280</v>
      </c>
      <c r="AI922">
        <v>5</v>
      </c>
      <c r="AJ922">
        <v>1</v>
      </c>
      <c r="AK922">
        <v>2</v>
      </c>
      <c r="AL922">
        <v>62.56</v>
      </c>
      <c r="AN922" t="s">
        <v>9294</v>
      </c>
      <c r="AO922" t="s">
        <v>1425</v>
      </c>
      <c r="AP922">
        <v>13000</v>
      </c>
      <c r="AS922" t="s">
        <v>9336</v>
      </c>
      <c r="AT922" t="s">
        <v>9369</v>
      </c>
      <c r="AU922" t="s">
        <v>9477</v>
      </c>
      <c r="AV922">
        <v>11.7</v>
      </c>
      <c r="AW922" t="s">
        <v>54</v>
      </c>
    </row>
    <row r="923" spans="1:49">
      <c r="A923" s="1">
        <f>HYPERLINK("https://cms.ls-nyc.org/matter/dynamic-profile/view/1881960","18-1881960")</f>
        <v>0</v>
      </c>
      <c r="B923" t="s">
        <v>71</v>
      </c>
      <c r="C923" t="s">
        <v>82</v>
      </c>
      <c r="D923" t="s">
        <v>170</v>
      </c>
      <c r="E923" t="s">
        <v>189</v>
      </c>
      <c r="F923" t="s">
        <v>812</v>
      </c>
      <c r="G923" t="s">
        <v>2072</v>
      </c>
      <c r="H923" t="s">
        <v>3284</v>
      </c>
      <c r="I923">
        <v>2</v>
      </c>
      <c r="J923" t="s">
        <v>4255</v>
      </c>
      <c r="K923">
        <v>11372</v>
      </c>
      <c r="L923" t="s">
        <v>4275</v>
      </c>
      <c r="M923" t="s">
        <v>4275</v>
      </c>
      <c r="O923" t="s">
        <v>4282</v>
      </c>
      <c r="P923" t="s">
        <v>5092</v>
      </c>
      <c r="Q923" t="s">
        <v>5731</v>
      </c>
      <c r="R923" t="s">
        <v>5753</v>
      </c>
      <c r="S923" t="s">
        <v>5759</v>
      </c>
      <c r="T923" t="s">
        <v>4276</v>
      </c>
      <c r="V923" t="s">
        <v>5767</v>
      </c>
      <c r="W923" t="s">
        <v>5772</v>
      </c>
      <c r="X923" t="s">
        <v>170</v>
      </c>
      <c r="Y923">
        <v>1208</v>
      </c>
      <c r="Z923" t="s">
        <v>5803</v>
      </c>
      <c r="AA923" t="s">
        <v>5804</v>
      </c>
      <c r="AB923" t="s">
        <v>5821</v>
      </c>
      <c r="AC923" t="s">
        <v>6676</v>
      </c>
      <c r="AD923" t="s">
        <v>4700</v>
      </c>
      <c r="AE923" t="s">
        <v>8656</v>
      </c>
      <c r="AF923">
        <v>59</v>
      </c>
      <c r="AG923" t="s">
        <v>9272</v>
      </c>
      <c r="AH923" t="s">
        <v>4280</v>
      </c>
      <c r="AI923">
        <v>26</v>
      </c>
      <c r="AJ923">
        <v>1</v>
      </c>
      <c r="AK923">
        <v>0</v>
      </c>
      <c r="AL923">
        <v>65.90000000000001</v>
      </c>
      <c r="AO923" t="s">
        <v>1425</v>
      </c>
      <c r="AP923">
        <v>8000</v>
      </c>
      <c r="AV923">
        <v>0.6</v>
      </c>
      <c r="AW923" t="s">
        <v>73</v>
      </c>
    </row>
    <row r="924" spans="1:49">
      <c r="A924" s="1">
        <f>HYPERLINK("https://cms.ls-nyc.org/matter/dynamic-profile/view/1876279","18-1876279")</f>
        <v>0</v>
      </c>
      <c r="B924" t="s">
        <v>71</v>
      </c>
      <c r="C924" t="s">
        <v>83</v>
      </c>
      <c r="D924" t="s">
        <v>194</v>
      </c>
      <c r="F924" t="s">
        <v>1005</v>
      </c>
      <c r="G924" t="s">
        <v>2073</v>
      </c>
      <c r="H924" t="s">
        <v>3285</v>
      </c>
      <c r="I924" t="s">
        <v>3866</v>
      </c>
      <c r="J924" t="s">
        <v>4258</v>
      </c>
      <c r="K924">
        <v>11369</v>
      </c>
      <c r="L924" t="s">
        <v>4275</v>
      </c>
      <c r="M924" t="s">
        <v>4277</v>
      </c>
      <c r="O924" t="s">
        <v>4282</v>
      </c>
      <c r="P924" t="s">
        <v>5093</v>
      </c>
      <c r="Q924" t="s">
        <v>5732</v>
      </c>
      <c r="R924" t="s">
        <v>5751</v>
      </c>
      <c r="T924" t="s">
        <v>4276</v>
      </c>
      <c r="V924" t="s">
        <v>5767</v>
      </c>
      <c r="W924" t="s">
        <v>5772</v>
      </c>
      <c r="Y924">
        <v>682</v>
      </c>
      <c r="Z924" t="s">
        <v>5803</v>
      </c>
      <c r="AA924" t="s">
        <v>5804</v>
      </c>
      <c r="AC924" t="s">
        <v>6677</v>
      </c>
      <c r="AD924" t="s">
        <v>7622</v>
      </c>
      <c r="AE924" t="s">
        <v>8657</v>
      </c>
      <c r="AF924">
        <v>2</v>
      </c>
      <c r="AG924" t="s">
        <v>9272</v>
      </c>
      <c r="AH924" t="s">
        <v>4280</v>
      </c>
      <c r="AI924">
        <v>45</v>
      </c>
      <c r="AJ924">
        <v>1</v>
      </c>
      <c r="AK924">
        <v>0</v>
      </c>
      <c r="AL924">
        <v>71.18000000000001</v>
      </c>
      <c r="AO924" t="s">
        <v>1425</v>
      </c>
      <c r="AP924">
        <v>8641.52</v>
      </c>
      <c r="AV924">
        <v>15.5</v>
      </c>
      <c r="AW924" t="s">
        <v>54</v>
      </c>
    </row>
    <row r="925" spans="1:49">
      <c r="A925" s="1">
        <f>HYPERLINK("https://cms.ls-nyc.org/matter/dynamic-profile/view/1871498","18-1871498")</f>
        <v>0</v>
      </c>
      <c r="B925" t="s">
        <v>71</v>
      </c>
      <c r="C925" t="s">
        <v>82</v>
      </c>
      <c r="D925" t="s">
        <v>102</v>
      </c>
      <c r="E925" t="s">
        <v>95</v>
      </c>
      <c r="F925" t="s">
        <v>376</v>
      </c>
      <c r="G925" t="s">
        <v>1462</v>
      </c>
      <c r="H925" t="s">
        <v>3286</v>
      </c>
      <c r="I925" t="s">
        <v>3902</v>
      </c>
      <c r="J925" t="s">
        <v>4225</v>
      </c>
      <c r="K925">
        <v>11385</v>
      </c>
      <c r="L925" t="s">
        <v>4275</v>
      </c>
      <c r="M925" t="s">
        <v>4275</v>
      </c>
      <c r="O925" t="s">
        <v>4281</v>
      </c>
      <c r="P925" t="s">
        <v>5094</v>
      </c>
      <c r="Q925" t="s">
        <v>5731</v>
      </c>
      <c r="R925" t="s">
        <v>5751</v>
      </c>
      <c r="S925" t="s">
        <v>5758</v>
      </c>
      <c r="T925" t="s">
        <v>4276</v>
      </c>
      <c r="V925" t="s">
        <v>5767</v>
      </c>
      <c r="W925" t="s">
        <v>5772</v>
      </c>
      <c r="X925" t="s">
        <v>102</v>
      </c>
      <c r="Y925">
        <v>762.4299999999999</v>
      </c>
      <c r="Z925" t="s">
        <v>5803</v>
      </c>
      <c r="AA925" t="s">
        <v>5804</v>
      </c>
      <c r="AB925" t="s">
        <v>5820</v>
      </c>
      <c r="AC925" t="s">
        <v>6678</v>
      </c>
      <c r="AD925" t="s">
        <v>7623</v>
      </c>
      <c r="AE925" t="s">
        <v>8658</v>
      </c>
      <c r="AF925">
        <v>6</v>
      </c>
      <c r="AG925" t="s">
        <v>9272</v>
      </c>
      <c r="AH925" t="s">
        <v>9287</v>
      </c>
      <c r="AI925">
        <v>1</v>
      </c>
      <c r="AJ925">
        <v>1</v>
      </c>
      <c r="AK925">
        <v>0</v>
      </c>
      <c r="AL925">
        <v>74.14</v>
      </c>
      <c r="AN925" t="s">
        <v>9294</v>
      </c>
      <c r="AO925" t="s">
        <v>1425</v>
      </c>
      <c r="AP925">
        <v>9000</v>
      </c>
      <c r="AR925" t="s">
        <v>9328</v>
      </c>
      <c r="AS925" t="s">
        <v>9336</v>
      </c>
      <c r="AT925" t="s">
        <v>9369</v>
      </c>
      <c r="AU925" t="s">
        <v>9385</v>
      </c>
      <c r="AV925">
        <v>27.85</v>
      </c>
      <c r="AW925" t="s">
        <v>54</v>
      </c>
    </row>
    <row r="926" spans="1:49">
      <c r="A926" s="1">
        <f>HYPERLINK("https://cms.ls-nyc.org/matter/dynamic-profile/view/1876349","18-1876349")</f>
        <v>0</v>
      </c>
      <c r="B926" t="s">
        <v>71</v>
      </c>
      <c r="C926" t="s">
        <v>82</v>
      </c>
      <c r="D926" t="s">
        <v>194</v>
      </c>
      <c r="E926" t="s">
        <v>282</v>
      </c>
      <c r="F926" t="s">
        <v>1006</v>
      </c>
      <c r="G926" t="s">
        <v>2074</v>
      </c>
      <c r="H926" t="s">
        <v>3287</v>
      </c>
      <c r="I926" t="s">
        <v>4108</v>
      </c>
      <c r="J926" t="s">
        <v>4222</v>
      </c>
      <c r="K926">
        <v>11434</v>
      </c>
      <c r="L926" t="s">
        <v>4275</v>
      </c>
      <c r="M926" t="s">
        <v>4275</v>
      </c>
      <c r="O926" t="s">
        <v>4281</v>
      </c>
      <c r="P926" t="s">
        <v>5095</v>
      </c>
      <c r="Q926" t="s">
        <v>5731</v>
      </c>
      <c r="R926" t="s">
        <v>5751</v>
      </c>
      <c r="S926" t="s">
        <v>5758</v>
      </c>
      <c r="T926" t="s">
        <v>4276</v>
      </c>
      <c r="V926" t="s">
        <v>5767</v>
      </c>
      <c r="W926" t="s">
        <v>5772</v>
      </c>
      <c r="X926" t="s">
        <v>194</v>
      </c>
      <c r="Y926">
        <v>961</v>
      </c>
      <c r="Z926" t="s">
        <v>5803</v>
      </c>
      <c r="AA926" t="s">
        <v>5804</v>
      </c>
      <c r="AB926" t="s">
        <v>5820</v>
      </c>
      <c r="AC926" t="s">
        <v>6679</v>
      </c>
      <c r="AD926" t="s">
        <v>4700</v>
      </c>
      <c r="AE926" t="s">
        <v>8659</v>
      </c>
      <c r="AF926">
        <v>0</v>
      </c>
      <c r="AG926" t="s">
        <v>9273</v>
      </c>
      <c r="AH926" t="s">
        <v>4280</v>
      </c>
      <c r="AI926">
        <v>51</v>
      </c>
      <c r="AJ926">
        <v>1</v>
      </c>
      <c r="AK926">
        <v>0</v>
      </c>
      <c r="AL926">
        <v>79.08</v>
      </c>
      <c r="AO926" t="s">
        <v>1425</v>
      </c>
      <c r="AP926">
        <v>9600</v>
      </c>
      <c r="AS926" t="s">
        <v>9340</v>
      </c>
      <c r="AT926" t="s">
        <v>9369</v>
      </c>
      <c r="AU926" t="s">
        <v>9516</v>
      </c>
      <c r="AV926">
        <v>2.25</v>
      </c>
      <c r="AW926" t="s">
        <v>54</v>
      </c>
    </row>
    <row r="927" spans="1:49">
      <c r="A927" s="1">
        <f>HYPERLINK("https://cms.ls-nyc.org/matter/dynamic-profile/view/1871540","18-1871540")</f>
        <v>0</v>
      </c>
      <c r="B927" t="s">
        <v>71</v>
      </c>
      <c r="C927" t="s">
        <v>82</v>
      </c>
      <c r="D927" t="s">
        <v>102</v>
      </c>
      <c r="E927" t="s">
        <v>216</v>
      </c>
      <c r="F927" t="s">
        <v>1007</v>
      </c>
      <c r="G927" t="s">
        <v>2075</v>
      </c>
      <c r="H927" t="s">
        <v>3288</v>
      </c>
      <c r="I927" t="s">
        <v>3915</v>
      </c>
      <c r="J927" t="s">
        <v>4240</v>
      </c>
      <c r="K927">
        <v>11373</v>
      </c>
      <c r="L927" t="s">
        <v>4275</v>
      </c>
      <c r="M927" t="s">
        <v>4275</v>
      </c>
      <c r="N927" t="s">
        <v>4278</v>
      </c>
      <c r="O927" t="s">
        <v>4281</v>
      </c>
      <c r="P927" t="s">
        <v>5096</v>
      </c>
      <c r="Q927" t="s">
        <v>5731</v>
      </c>
      <c r="R927" t="s">
        <v>5751</v>
      </c>
      <c r="S927" t="s">
        <v>5758</v>
      </c>
      <c r="T927" t="s">
        <v>4276</v>
      </c>
      <c r="V927" t="s">
        <v>5767</v>
      </c>
      <c r="W927" t="s">
        <v>5772</v>
      </c>
      <c r="X927" t="s">
        <v>102</v>
      </c>
      <c r="Y927">
        <v>970.8</v>
      </c>
      <c r="Z927" t="s">
        <v>5803</v>
      </c>
      <c r="AA927" t="s">
        <v>5804</v>
      </c>
      <c r="AB927" t="s">
        <v>5820</v>
      </c>
      <c r="AC927" t="s">
        <v>6680</v>
      </c>
      <c r="AD927" t="s">
        <v>7535</v>
      </c>
      <c r="AE927" t="s">
        <v>8660</v>
      </c>
      <c r="AF927">
        <v>126</v>
      </c>
      <c r="AG927" t="s">
        <v>9272</v>
      </c>
      <c r="AH927" t="s">
        <v>4280</v>
      </c>
      <c r="AI927">
        <v>34</v>
      </c>
      <c r="AJ927">
        <v>1</v>
      </c>
      <c r="AK927">
        <v>0</v>
      </c>
      <c r="AL927">
        <v>81.65000000000001</v>
      </c>
      <c r="AN927" t="s">
        <v>9294</v>
      </c>
      <c r="AO927" t="s">
        <v>5806</v>
      </c>
      <c r="AP927">
        <v>9912</v>
      </c>
      <c r="AS927" t="s">
        <v>9336</v>
      </c>
      <c r="AT927" t="s">
        <v>9369</v>
      </c>
      <c r="AU927" t="s">
        <v>9384</v>
      </c>
      <c r="AV927">
        <v>19</v>
      </c>
      <c r="AW927" t="s">
        <v>54</v>
      </c>
    </row>
    <row r="928" spans="1:49">
      <c r="A928" s="1">
        <f>HYPERLINK("https://cms.ls-nyc.org/matter/dynamic-profile/view/1880142","18-1880142")</f>
        <v>0</v>
      </c>
      <c r="B928" t="s">
        <v>71</v>
      </c>
      <c r="C928" t="s">
        <v>82</v>
      </c>
      <c r="D928" t="s">
        <v>225</v>
      </c>
      <c r="E928" t="s">
        <v>265</v>
      </c>
      <c r="F928" t="s">
        <v>1008</v>
      </c>
      <c r="G928" t="s">
        <v>2076</v>
      </c>
      <c r="H928" t="s">
        <v>3289</v>
      </c>
      <c r="I928" t="s">
        <v>3932</v>
      </c>
      <c r="J928" t="s">
        <v>4229</v>
      </c>
      <c r="K928">
        <v>11367</v>
      </c>
      <c r="L928" t="s">
        <v>4275</v>
      </c>
      <c r="M928" t="s">
        <v>4275</v>
      </c>
      <c r="O928" t="s">
        <v>4282</v>
      </c>
      <c r="P928" t="s">
        <v>5097</v>
      </c>
      <c r="Q928" t="s">
        <v>5731</v>
      </c>
      <c r="R928" t="s">
        <v>5753</v>
      </c>
      <c r="S928" t="s">
        <v>5759</v>
      </c>
      <c r="T928" t="s">
        <v>4276</v>
      </c>
      <c r="V928" t="s">
        <v>5767</v>
      </c>
      <c r="W928" t="s">
        <v>5772</v>
      </c>
      <c r="X928" t="s">
        <v>187</v>
      </c>
      <c r="Y928">
        <v>905</v>
      </c>
      <c r="Z928" t="s">
        <v>5803</v>
      </c>
      <c r="AA928" t="s">
        <v>5804</v>
      </c>
      <c r="AB928" t="s">
        <v>5821</v>
      </c>
      <c r="AC928" t="s">
        <v>6681</v>
      </c>
      <c r="AD928" t="s">
        <v>7624</v>
      </c>
      <c r="AE928" t="s">
        <v>8661</v>
      </c>
      <c r="AF928">
        <v>14</v>
      </c>
      <c r="AG928" t="s">
        <v>9270</v>
      </c>
      <c r="AH928" t="s">
        <v>4280</v>
      </c>
      <c r="AI928">
        <v>15</v>
      </c>
      <c r="AJ928">
        <v>2</v>
      </c>
      <c r="AK928">
        <v>0</v>
      </c>
      <c r="AL928">
        <v>85.01000000000001</v>
      </c>
      <c r="AO928" t="s">
        <v>9298</v>
      </c>
      <c r="AP928">
        <v>13992</v>
      </c>
      <c r="AV928">
        <v>0.7</v>
      </c>
      <c r="AW928" t="s">
        <v>54</v>
      </c>
    </row>
    <row r="929" spans="1:49">
      <c r="A929" s="1">
        <f>HYPERLINK("https://cms.ls-nyc.org/matter/dynamic-profile/view/1884064","18-1884064")</f>
        <v>0</v>
      </c>
      <c r="B929" t="s">
        <v>71</v>
      </c>
      <c r="C929" t="s">
        <v>82</v>
      </c>
      <c r="D929" t="s">
        <v>86</v>
      </c>
      <c r="E929" t="s">
        <v>303</v>
      </c>
      <c r="F929" t="s">
        <v>375</v>
      </c>
      <c r="G929" t="s">
        <v>2077</v>
      </c>
      <c r="H929" t="s">
        <v>3290</v>
      </c>
      <c r="I929" t="s">
        <v>3921</v>
      </c>
      <c r="J929" t="s">
        <v>4258</v>
      </c>
      <c r="K929">
        <v>11369</v>
      </c>
      <c r="L929" t="s">
        <v>4275</v>
      </c>
      <c r="M929" t="s">
        <v>4275</v>
      </c>
      <c r="O929" t="s">
        <v>4282</v>
      </c>
      <c r="P929" t="s">
        <v>5098</v>
      </c>
      <c r="Q929" t="s">
        <v>5732</v>
      </c>
      <c r="R929" t="s">
        <v>5753</v>
      </c>
      <c r="S929" t="s">
        <v>5759</v>
      </c>
      <c r="T929" t="s">
        <v>4276</v>
      </c>
      <c r="V929" t="s">
        <v>5767</v>
      </c>
      <c r="W929" t="s">
        <v>5772</v>
      </c>
      <c r="X929" t="s">
        <v>265</v>
      </c>
      <c r="Y929">
        <v>325</v>
      </c>
      <c r="Z929" t="s">
        <v>5803</v>
      </c>
      <c r="AA929" t="s">
        <v>5804</v>
      </c>
      <c r="AB929" t="s">
        <v>5821</v>
      </c>
      <c r="AC929" t="s">
        <v>6682</v>
      </c>
      <c r="AD929" t="s">
        <v>4700</v>
      </c>
      <c r="AE929" t="s">
        <v>8662</v>
      </c>
      <c r="AF929">
        <v>0</v>
      </c>
      <c r="AG929" t="s">
        <v>9270</v>
      </c>
      <c r="AH929" t="s">
        <v>4280</v>
      </c>
      <c r="AI929">
        <v>1</v>
      </c>
      <c r="AJ929">
        <v>1</v>
      </c>
      <c r="AK929">
        <v>0</v>
      </c>
      <c r="AL929">
        <v>88.95999999999999</v>
      </c>
      <c r="AO929" t="s">
        <v>1425</v>
      </c>
      <c r="AP929">
        <v>10800</v>
      </c>
      <c r="AV929">
        <v>1</v>
      </c>
      <c r="AW929" t="s">
        <v>54</v>
      </c>
    </row>
    <row r="930" spans="1:49">
      <c r="A930" s="1">
        <f>HYPERLINK("https://cms.ls-nyc.org/matter/dynamic-profile/view/1881910","18-1881910")</f>
        <v>0</v>
      </c>
      <c r="B930" t="s">
        <v>71</v>
      </c>
      <c r="C930" t="s">
        <v>82</v>
      </c>
      <c r="D930" t="s">
        <v>170</v>
      </c>
      <c r="E930" t="s">
        <v>187</v>
      </c>
      <c r="F930" t="s">
        <v>1009</v>
      </c>
      <c r="G930" t="s">
        <v>2078</v>
      </c>
      <c r="H930" t="s">
        <v>3291</v>
      </c>
      <c r="I930">
        <v>31</v>
      </c>
      <c r="J930" t="s">
        <v>4255</v>
      </c>
      <c r="K930">
        <v>11372</v>
      </c>
      <c r="L930" t="s">
        <v>4275</v>
      </c>
      <c r="M930" t="s">
        <v>4275</v>
      </c>
      <c r="O930" t="s">
        <v>4282</v>
      </c>
      <c r="P930" t="s">
        <v>5099</v>
      </c>
      <c r="Q930" t="s">
        <v>5731</v>
      </c>
      <c r="R930" t="s">
        <v>5753</v>
      </c>
      <c r="S930" t="s">
        <v>5759</v>
      </c>
      <c r="T930" t="s">
        <v>4276</v>
      </c>
      <c r="V930" t="s">
        <v>5767</v>
      </c>
      <c r="W930" t="s">
        <v>5771</v>
      </c>
      <c r="X930" t="s">
        <v>170</v>
      </c>
      <c r="Y930">
        <v>1700</v>
      </c>
      <c r="Z930" t="s">
        <v>5803</v>
      </c>
      <c r="AA930" t="s">
        <v>5804</v>
      </c>
      <c r="AB930" t="s">
        <v>5821</v>
      </c>
      <c r="AC930" t="s">
        <v>6683</v>
      </c>
      <c r="AD930" t="s">
        <v>7625</v>
      </c>
      <c r="AE930" t="s">
        <v>8663</v>
      </c>
      <c r="AF930">
        <v>15</v>
      </c>
      <c r="AH930" t="s">
        <v>4280</v>
      </c>
      <c r="AI930">
        <v>2</v>
      </c>
      <c r="AJ930">
        <v>1</v>
      </c>
      <c r="AK930">
        <v>2</v>
      </c>
      <c r="AL930">
        <v>91.43000000000001</v>
      </c>
      <c r="AO930" t="s">
        <v>9298</v>
      </c>
      <c r="AP930">
        <v>19000</v>
      </c>
      <c r="AV930">
        <v>0.5</v>
      </c>
      <c r="AW930" t="s">
        <v>54</v>
      </c>
    </row>
    <row r="931" spans="1:49">
      <c r="A931" s="1">
        <f>HYPERLINK("https://cms.ls-nyc.org/matter/dynamic-profile/view/1896553","19-1896553")</f>
        <v>0</v>
      </c>
      <c r="B931" t="s">
        <v>71</v>
      </c>
      <c r="C931" t="s">
        <v>82</v>
      </c>
      <c r="D931" t="s">
        <v>248</v>
      </c>
      <c r="E931" t="s">
        <v>99</v>
      </c>
      <c r="F931" t="s">
        <v>548</v>
      </c>
      <c r="G931" t="s">
        <v>1610</v>
      </c>
      <c r="H931" t="s">
        <v>2748</v>
      </c>
      <c r="I931" t="s">
        <v>3892</v>
      </c>
      <c r="J931" t="s">
        <v>4255</v>
      </c>
      <c r="K931">
        <v>11372</v>
      </c>
      <c r="L931" t="s">
        <v>4275</v>
      </c>
      <c r="M931" t="s">
        <v>4275</v>
      </c>
      <c r="N931" t="s">
        <v>4278</v>
      </c>
      <c r="O931" t="s">
        <v>4282</v>
      </c>
      <c r="P931" t="s">
        <v>4550</v>
      </c>
      <c r="Q931" t="s">
        <v>5731</v>
      </c>
      <c r="R931" t="s">
        <v>5753</v>
      </c>
      <c r="S931" t="s">
        <v>5759</v>
      </c>
      <c r="T931" t="s">
        <v>4276</v>
      </c>
      <c r="V931" t="s">
        <v>5767</v>
      </c>
      <c r="W931" t="s">
        <v>5772</v>
      </c>
      <c r="X931" t="s">
        <v>248</v>
      </c>
      <c r="Y931">
        <v>1609.4</v>
      </c>
      <c r="Z931" t="s">
        <v>5803</v>
      </c>
      <c r="AA931" t="s">
        <v>5804</v>
      </c>
      <c r="AB931" t="s">
        <v>5821</v>
      </c>
      <c r="AC931" t="s">
        <v>6091</v>
      </c>
      <c r="AE931" t="s">
        <v>8101</v>
      </c>
      <c r="AF931">
        <v>36</v>
      </c>
      <c r="AG931" t="s">
        <v>9272</v>
      </c>
      <c r="AI931">
        <v>11</v>
      </c>
      <c r="AJ931">
        <v>3</v>
      </c>
      <c r="AK931">
        <v>0</v>
      </c>
      <c r="AL931">
        <v>93.28</v>
      </c>
      <c r="AO931" t="s">
        <v>1425</v>
      </c>
      <c r="AP931">
        <v>19896</v>
      </c>
      <c r="AV931">
        <v>2.7</v>
      </c>
      <c r="AW931" t="s">
        <v>71</v>
      </c>
    </row>
    <row r="932" spans="1:49">
      <c r="A932" s="1">
        <f>HYPERLINK("https://cms.ls-nyc.org/matter/dynamic-profile/view/1872520","18-1872520")</f>
        <v>0</v>
      </c>
      <c r="B932" t="s">
        <v>71</v>
      </c>
      <c r="C932" t="s">
        <v>82</v>
      </c>
      <c r="D932" t="s">
        <v>261</v>
      </c>
      <c r="E932" t="s">
        <v>216</v>
      </c>
      <c r="F932" t="s">
        <v>1010</v>
      </c>
      <c r="G932" t="s">
        <v>2079</v>
      </c>
      <c r="H932" t="s">
        <v>3292</v>
      </c>
      <c r="I932" t="s">
        <v>4109</v>
      </c>
      <c r="J932" t="s">
        <v>4236</v>
      </c>
      <c r="K932">
        <v>11417</v>
      </c>
      <c r="L932" t="s">
        <v>4275</v>
      </c>
      <c r="M932" t="s">
        <v>4277</v>
      </c>
      <c r="O932" t="s">
        <v>4282</v>
      </c>
      <c r="P932" t="s">
        <v>5100</v>
      </c>
      <c r="Q932" t="s">
        <v>5732</v>
      </c>
      <c r="R932" t="s">
        <v>5753</v>
      </c>
      <c r="S932" t="s">
        <v>5759</v>
      </c>
      <c r="T932" t="s">
        <v>4276</v>
      </c>
      <c r="V932" t="s">
        <v>5767</v>
      </c>
      <c r="Y932">
        <v>625</v>
      </c>
      <c r="Z932" t="s">
        <v>5803</v>
      </c>
      <c r="AA932" t="s">
        <v>5804</v>
      </c>
      <c r="AB932" t="s">
        <v>5821</v>
      </c>
      <c r="AC932" t="s">
        <v>6684</v>
      </c>
      <c r="AE932" t="s">
        <v>8664</v>
      </c>
      <c r="AF932">
        <v>2</v>
      </c>
      <c r="AG932" t="s">
        <v>9269</v>
      </c>
      <c r="AH932" t="s">
        <v>4280</v>
      </c>
      <c r="AI932">
        <v>5</v>
      </c>
      <c r="AJ932">
        <v>2</v>
      </c>
      <c r="AK932">
        <v>0</v>
      </c>
      <c r="AL932">
        <v>94.78</v>
      </c>
      <c r="AO932" t="s">
        <v>9301</v>
      </c>
      <c r="AP932">
        <v>15600</v>
      </c>
      <c r="AV932">
        <v>1.25</v>
      </c>
      <c r="AW932" t="s">
        <v>73</v>
      </c>
    </row>
    <row r="933" spans="1:49">
      <c r="A933" s="1">
        <f>HYPERLINK("https://cms.ls-nyc.org/matter/dynamic-profile/view/1893920","19-1893920")</f>
        <v>0</v>
      </c>
      <c r="B933" t="s">
        <v>71</v>
      </c>
      <c r="C933" t="s">
        <v>83</v>
      </c>
      <c r="D933" t="s">
        <v>96</v>
      </c>
      <c r="F933" t="s">
        <v>339</v>
      </c>
      <c r="G933" t="s">
        <v>2080</v>
      </c>
      <c r="H933" t="s">
        <v>3293</v>
      </c>
      <c r="I933" t="s">
        <v>3890</v>
      </c>
      <c r="J933" t="s">
        <v>4234</v>
      </c>
      <c r="K933">
        <v>11103</v>
      </c>
      <c r="L933" t="s">
        <v>4275</v>
      </c>
      <c r="M933" t="s">
        <v>4275</v>
      </c>
      <c r="O933" t="s">
        <v>4282</v>
      </c>
      <c r="P933" t="s">
        <v>5101</v>
      </c>
      <c r="Q933" t="s">
        <v>5732</v>
      </c>
      <c r="R933" t="s">
        <v>5751</v>
      </c>
      <c r="T933" t="s">
        <v>4276</v>
      </c>
      <c r="V933" t="s">
        <v>5767</v>
      </c>
      <c r="W933" t="s">
        <v>5772</v>
      </c>
      <c r="X933" t="s">
        <v>96</v>
      </c>
      <c r="Y933">
        <v>1313</v>
      </c>
      <c r="Z933" t="s">
        <v>5803</v>
      </c>
      <c r="AA933" t="s">
        <v>5804</v>
      </c>
      <c r="AC933" t="s">
        <v>6685</v>
      </c>
      <c r="AE933" t="s">
        <v>8665</v>
      </c>
      <c r="AF933">
        <v>6</v>
      </c>
      <c r="AG933" t="s">
        <v>9272</v>
      </c>
      <c r="AH933" t="s">
        <v>4280</v>
      </c>
      <c r="AI933">
        <v>10</v>
      </c>
      <c r="AJ933">
        <v>2</v>
      </c>
      <c r="AK933">
        <v>2</v>
      </c>
      <c r="AL933">
        <v>97.09</v>
      </c>
      <c r="AO933" t="s">
        <v>1425</v>
      </c>
      <c r="AP933">
        <v>25000</v>
      </c>
      <c r="AV933">
        <v>49.15</v>
      </c>
      <c r="AW933" t="s">
        <v>54</v>
      </c>
    </row>
    <row r="934" spans="1:49">
      <c r="A934" s="1">
        <f>HYPERLINK("https://cms.ls-nyc.org/matter/dynamic-profile/view/1877421","18-1877421")</f>
        <v>0</v>
      </c>
      <c r="B934" t="s">
        <v>71</v>
      </c>
      <c r="C934" t="s">
        <v>83</v>
      </c>
      <c r="D934" t="s">
        <v>181</v>
      </c>
      <c r="F934" t="s">
        <v>870</v>
      </c>
      <c r="G934" t="s">
        <v>1761</v>
      </c>
      <c r="H934" t="s">
        <v>2713</v>
      </c>
      <c r="I934" t="s">
        <v>3982</v>
      </c>
      <c r="J934" t="s">
        <v>4222</v>
      </c>
      <c r="K934">
        <v>11432</v>
      </c>
      <c r="L934" t="s">
        <v>4275</v>
      </c>
      <c r="M934" t="s">
        <v>4275</v>
      </c>
      <c r="O934" t="s">
        <v>4282</v>
      </c>
      <c r="P934" t="s">
        <v>5102</v>
      </c>
      <c r="Q934" t="s">
        <v>5732</v>
      </c>
      <c r="R934" t="s">
        <v>5751</v>
      </c>
      <c r="T934" t="s">
        <v>4276</v>
      </c>
      <c r="V934" t="s">
        <v>5767</v>
      </c>
      <c r="W934" t="s">
        <v>5772</v>
      </c>
      <c r="X934" t="s">
        <v>181</v>
      </c>
      <c r="Y934">
        <v>755</v>
      </c>
      <c r="Z934" t="s">
        <v>5803</v>
      </c>
      <c r="AA934" t="s">
        <v>5804</v>
      </c>
      <c r="AC934" t="s">
        <v>6686</v>
      </c>
      <c r="AD934" t="s">
        <v>7626</v>
      </c>
      <c r="AE934" t="s">
        <v>8666</v>
      </c>
      <c r="AF934">
        <v>126</v>
      </c>
      <c r="AG934" t="s">
        <v>9272</v>
      </c>
      <c r="AH934" t="s">
        <v>9287</v>
      </c>
      <c r="AI934">
        <v>30</v>
      </c>
      <c r="AJ934">
        <v>3</v>
      </c>
      <c r="AK934">
        <v>0</v>
      </c>
      <c r="AL934">
        <v>97.36</v>
      </c>
      <c r="AO934" t="s">
        <v>1425</v>
      </c>
      <c r="AP934">
        <v>20232</v>
      </c>
      <c r="AV934">
        <v>42</v>
      </c>
      <c r="AW934" t="s">
        <v>73</v>
      </c>
    </row>
    <row r="935" spans="1:49">
      <c r="A935" s="1">
        <f>HYPERLINK("https://cms.ls-nyc.org/matter/dynamic-profile/view/1875117","18-1875117")</f>
        <v>0</v>
      </c>
      <c r="B935" t="s">
        <v>71</v>
      </c>
      <c r="C935" t="s">
        <v>82</v>
      </c>
      <c r="D935" t="s">
        <v>177</v>
      </c>
      <c r="E935" t="s">
        <v>207</v>
      </c>
      <c r="F935" t="s">
        <v>1011</v>
      </c>
      <c r="G935" t="s">
        <v>1617</v>
      </c>
      <c r="H935" t="s">
        <v>3294</v>
      </c>
      <c r="I935" t="s">
        <v>3850</v>
      </c>
      <c r="J935" t="s">
        <v>4222</v>
      </c>
      <c r="K935">
        <v>11434</v>
      </c>
      <c r="L935" t="s">
        <v>4275</v>
      </c>
      <c r="M935" t="s">
        <v>4275</v>
      </c>
      <c r="O935" t="s">
        <v>4281</v>
      </c>
      <c r="P935" t="s">
        <v>5103</v>
      </c>
      <c r="Q935" t="s">
        <v>5731</v>
      </c>
      <c r="R935" t="s">
        <v>5753</v>
      </c>
      <c r="S935" t="s">
        <v>5759</v>
      </c>
      <c r="T935" t="s">
        <v>4276</v>
      </c>
      <c r="V935" t="s">
        <v>5767</v>
      </c>
      <c r="W935" t="s">
        <v>5772</v>
      </c>
      <c r="X935" t="s">
        <v>177</v>
      </c>
      <c r="Y935">
        <v>672</v>
      </c>
      <c r="Z935" t="s">
        <v>5803</v>
      </c>
      <c r="AA935" t="s">
        <v>5804</v>
      </c>
      <c r="AB935" t="s">
        <v>5821</v>
      </c>
      <c r="AC935" t="s">
        <v>6687</v>
      </c>
      <c r="AD935" t="s">
        <v>4280</v>
      </c>
      <c r="AE935" t="s">
        <v>8667</v>
      </c>
      <c r="AF935">
        <v>293</v>
      </c>
      <c r="AG935" t="s">
        <v>9269</v>
      </c>
      <c r="AH935" t="s">
        <v>4280</v>
      </c>
      <c r="AI935">
        <v>8</v>
      </c>
      <c r="AJ935">
        <v>1</v>
      </c>
      <c r="AK935">
        <v>2</v>
      </c>
      <c r="AL935">
        <v>103.95</v>
      </c>
      <c r="AO935" t="s">
        <v>1425</v>
      </c>
      <c r="AP935">
        <v>21600</v>
      </c>
      <c r="AV935">
        <v>6.5</v>
      </c>
      <c r="AW935" t="s">
        <v>73</v>
      </c>
    </row>
    <row r="936" spans="1:49">
      <c r="A936" s="1">
        <f>HYPERLINK("https://cms.ls-nyc.org/matter/dynamic-profile/view/1872099","18-1872099")</f>
        <v>0</v>
      </c>
      <c r="B936" t="s">
        <v>71</v>
      </c>
      <c r="C936" t="s">
        <v>83</v>
      </c>
      <c r="D936" t="s">
        <v>192</v>
      </c>
      <c r="F936" t="s">
        <v>1012</v>
      </c>
      <c r="G936" t="s">
        <v>2081</v>
      </c>
      <c r="H936" t="s">
        <v>3295</v>
      </c>
      <c r="I936" t="s">
        <v>3902</v>
      </c>
      <c r="J936" t="s">
        <v>4234</v>
      </c>
      <c r="K936">
        <v>11101</v>
      </c>
      <c r="L936" t="s">
        <v>4275</v>
      </c>
      <c r="M936" t="s">
        <v>4275</v>
      </c>
      <c r="O936" t="s">
        <v>4282</v>
      </c>
      <c r="P936" t="s">
        <v>5104</v>
      </c>
      <c r="Q936" t="s">
        <v>5732</v>
      </c>
      <c r="R936" t="s">
        <v>5753</v>
      </c>
      <c r="T936" t="s">
        <v>4276</v>
      </c>
      <c r="V936" t="s">
        <v>5767</v>
      </c>
      <c r="X936" t="s">
        <v>5794</v>
      </c>
      <c r="Y936">
        <v>1850</v>
      </c>
      <c r="Z936" t="s">
        <v>5803</v>
      </c>
      <c r="AA936" t="s">
        <v>5804</v>
      </c>
      <c r="AC936" t="s">
        <v>6688</v>
      </c>
      <c r="AD936" t="s">
        <v>4280</v>
      </c>
      <c r="AE936" t="s">
        <v>8668</v>
      </c>
      <c r="AF936">
        <v>6</v>
      </c>
      <c r="AG936" t="s">
        <v>9270</v>
      </c>
      <c r="AH936" t="s">
        <v>4280</v>
      </c>
      <c r="AI936">
        <v>7</v>
      </c>
      <c r="AJ936">
        <v>3</v>
      </c>
      <c r="AK936">
        <v>3</v>
      </c>
      <c r="AL936">
        <v>105.5</v>
      </c>
      <c r="AN936" t="s">
        <v>9294</v>
      </c>
      <c r="AO936" t="s">
        <v>1425</v>
      </c>
      <c r="AP936">
        <v>35595</v>
      </c>
      <c r="AV936">
        <v>0</v>
      </c>
      <c r="AW936" t="s">
        <v>54</v>
      </c>
    </row>
    <row r="937" spans="1:49">
      <c r="A937" s="1">
        <f>HYPERLINK("https://cms.ls-nyc.org/matter/dynamic-profile/view/1880778","18-1880778")</f>
        <v>0</v>
      </c>
      <c r="B937" t="s">
        <v>71</v>
      </c>
      <c r="C937" t="s">
        <v>82</v>
      </c>
      <c r="D937" t="s">
        <v>84</v>
      </c>
      <c r="E937" t="s">
        <v>187</v>
      </c>
      <c r="F937" t="s">
        <v>1013</v>
      </c>
      <c r="G937" t="s">
        <v>2082</v>
      </c>
      <c r="H937" t="s">
        <v>3296</v>
      </c>
      <c r="I937" t="s">
        <v>3861</v>
      </c>
      <c r="J937" t="s">
        <v>4234</v>
      </c>
      <c r="K937">
        <v>11103</v>
      </c>
      <c r="L937" t="s">
        <v>4275</v>
      </c>
      <c r="M937" t="s">
        <v>4275</v>
      </c>
      <c r="O937" t="s">
        <v>4282</v>
      </c>
      <c r="P937" t="s">
        <v>5105</v>
      </c>
      <c r="Q937" t="s">
        <v>5732</v>
      </c>
      <c r="R937" t="s">
        <v>5753</v>
      </c>
      <c r="S937" t="s">
        <v>5759</v>
      </c>
      <c r="T937" t="s">
        <v>4276</v>
      </c>
      <c r="V937" t="s">
        <v>5767</v>
      </c>
      <c r="W937" t="s">
        <v>5772</v>
      </c>
      <c r="X937" t="s">
        <v>84</v>
      </c>
      <c r="Y937">
        <v>1500</v>
      </c>
      <c r="Z937" t="s">
        <v>5803</v>
      </c>
      <c r="AA937" t="s">
        <v>5804</v>
      </c>
      <c r="AB937" t="s">
        <v>5821</v>
      </c>
      <c r="AC937" t="s">
        <v>6689</v>
      </c>
      <c r="AD937" t="s">
        <v>7627</v>
      </c>
      <c r="AE937" t="s">
        <v>8669</v>
      </c>
      <c r="AF937">
        <v>5</v>
      </c>
      <c r="AG937" t="s">
        <v>9269</v>
      </c>
      <c r="AH937" t="s">
        <v>4280</v>
      </c>
      <c r="AI937">
        <v>10</v>
      </c>
      <c r="AJ937">
        <v>3</v>
      </c>
      <c r="AK937">
        <v>0</v>
      </c>
      <c r="AL937">
        <v>108.37</v>
      </c>
      <c r="AO937" t="s">
        <v>1425</v>
      </c>
      <c r="AP937">
        <v>22520</v>
      </c>
      <c r="AV937">
        <v>0.1</v>
      </c>
      <c r="AW937" t="s">
        <v>73</v>
      </c>
    </row>
    <row r="938" spans="1:49">
      <c r="A938" s="1">
        <f>HYPERLINK("https://cms.ls-nyc.org/matter/dynamic-profile/view/1873220","18-1873220")</f>
        <v>0</v>
      </c>
      <c r="B938" t="s">
        <v>71</v>
      </c>
      <c r="C938" t="s">
        <v>82</v>
      </c>
      <c r="D938" t="s">
        <v>133</v>
      </c>
      <c r="E938" t="s">
        <v>282</v>
      </c>
      <c r="F938" t="s">
        <v>1014</v>
      </c>
      <c r="G938" t="s">
        <v>2083</v>
      </c>
      <c r="H938" t="s">
        <v>3297</v>
      </c>
      <c r="I938" t="s">
        <v>3864</v>
      </c>
      <c r="J938" t="s">
        <v>4268</v>
      </c>
      <c r="K938">
        <v>11378</v>
      </c>
      <c r="L938" t="s">
        <v>4275</v>
      </c>
      <c r="M938" t="s">
        <v>4275</v>
      </c>
      <c r="O938" t="s">
        <v>4282</v>
      </c>
      <c r="P938" t="s">
        <v>5106</v>
      </c>
      <c r="Q938" t="s">
        <v>5731</v>
      </c>
      <c r="R938" t="s">
        <v>5751</v>
      </c>
      <c r="S938" t="s">
        <v>5758</v>
      </c>
      <c r="T938" t="s">
        <v>4276</v>
      </c>
      <c r="V938" t="s">
        <v>5767</v>
      </c>
      <c r="W938" t="s">
        <v>5772</v>
      </c>
      <c r="X938" t="s">
        <v>133</v>
      </c>
      <c r="Y938">
        <v>1625</v>
      </c>
      <c r="Z938" t="s">
        <v>5803</v>
      </c>
      <c r="AA938" t="s">
        <v>5804</v>
      </c>
      <c r="AB938" t="s">
        <v>5820</v>
      </c>
      <c r="AC938" t="s">
        <v>6690</v>
      </c>
      <c r="AD938" t="s">
        <v>7628</v>
      </c>
      <c r="AE938" t="s">
        <v>8670</v>
      </c>
      <c r="AF938">
        <v>3</v>
      </c>
      <c r="AG938" t="s">
        <v>9269</v>
      </c>
      <c r="AH938" t="s">
        <v>4280</v>
      </c>
      <c r="AI938">
        <v>3</v>
      </c>
      <c r="AJ938">
        <v>2</v>
      </c>
      <c r="AK938">
        <v>2</v>
      </c>
      <c r="AL938">
        <v>108.76</v>
      </c>
      <c r="AO938" t="s">
        <v>1425</v>
      </c>
      <c r="AP938">
        <v>27300</v>
      </c>
      <c r="AS938" t="s">
        <v>9336</v>
      </c>
      <c r="AT938" t="s">
        <v>9369</v>
      </c>
      <c r="AU938" t="s">
        <v>9500</v>
      </c>
      <c r="AV938">
        <v>14.2</v>
      </c>
      <c r="AW938" t="s">
        <v>73</v>
      </c>
    </row>
    <row r="939" spans="1:49">
      <c r="A939" s="1">
        <f>HYPERLINK("https://cms.ls-nyc.org/matter/dynamic-profile/view/1873331","18-1873331")</f>
        <v>0</v>
      </c>
      <c r="B939" t="s">
        <v>71</v>
      </c>
      <c r="C939" t="s">
        <v>82</v>
      </c>
      <c r="D939" t="s">
        <v>153</v>
      </c>
      <c r="E939" t="s">
        <v>187</v>
      </c>
      <c r="F939" t="s">
        <v>1015</v>
      </c>
      <c r="G939" t="s">
        <v>2084</v>
      </c>
      <c r="H939" t="s">
        <v>3298</v>
      </c>
      <c r="I939" t="s">
        <v>3999</v>
      </c>
      <c r="J939" t="s">
        <v>4268</v>
      </c>
      <c r="K939">
        <v>11378</v>
      </c>
      <c r="L939" t="s">
        <v>4275</v>
      </c>
      <c r="M939" t="s">
        <v>4275</v>
      </c>
      <c r="O939" t="s">
        <v>4282</v>
      </c>
      <c r="P939" t="s">
        <v>5107</v>
      </c>
      <c r="Q939" t="s">
        <v>5732</v>
      </c>
      <c r="R939" t="s">
        <v>5751</v>
      </c>
      <c r="S939" t="s">
        <v>5758</v>
      </c>
      <c r="T939" t="s">
        <v>4276</v>
      </c>
      <c r="V939" t="s">
        <v>5767</v>
      </c>
      <c r="W939" t="s">
        <v>5772</v>
      </c>
      <c r="X939" t="s">
        <v>153</v>
      </c>
      <c r="Y939">
        <v>1500</v>
      </c>
      <c r="Z939" t="s">
        <v>5803</v>
      </c>
      <c r="AA939" t="s">
        <v>5804</v>
      </c>
      <c r="AB939" t="s">
        <v>5822</v>
      </c>
      <c r="AC939" t="s">
        <v>6691</v>
      </c>
      <c r="AD939" t="s">
        <v>4700</v>
      </c>
      <c r="AE939" t="s">
        <v>8671</v>
      </c>
      <c r="AF939">
        <v>1</v>
      </c>
      <c r="AG939" t="s">
        <v>9269</v>
      </c>
      <c r="AH939" t="s">
        <v>4280</v>
      </c>
      <c r="AI939">
        <v>1</v>
      </c>
      <c r="AJ939">
        <v>1</v>
      </c>
      <c r="AK939">
        <v>1</v>
      </c>
      <c r="AL939">
        <v>109.36</v>
      </c>
      <c r="AN939" t="s">
        <v>9294</v>
      </c>
      <c r="AO939" t="s">
        <v>1425</v>
      </c>
      <c r="AP939">
        <v>18000</v>
      </c>
      <c r="AS939" t="s">
        <v>9340</v>
      </c>
      <c r="AT939" t="s">
        <v>9370</v>
      </c>
      <c r="AU939" t="s">
        <v>9437</v>
      </c>
      <c r="AV939">
        <v>44.5</v>
      </c>
      <c r="AW939" t="s">
        <v>54</v>
      </c>
    </row>
    <row r="940" spans="1:49">
      <c r="A940" s="1">
        <f>HYPERLINK("https://cms.ls-nyc.org/matter/dynamic-profile/view/1876668","18-1876668")</f>
        <v>0</v>
      </c>
      <c r="B940" t="s">
        <v>71</v>
      </c>
      <c r="C940" t="s">
        <v>83</v>
      </c>
      <c r="D940" t="s">
        <v>178</v>
      </c>
      <c r="F940" t="s">
        <v>1016</v>
      </c>
      <c r="G940" t="s">
        <v>511</v>
      </c>
      <c r="H940" t="s">
        <v>3299</v>
      </c>
      <c r="J940" t="s">
        <v>4249</v>
      </c>
      <c r="K940">
        <v>11429</v>
      </c>
      <c r="L940" t="s">
        <v>4275</v>
      </c>
      <c r="M940" t="s">
        <v>4275</v>
      </c>
      <c r="O940" t="s">
        <v>4282</v>
      </c>
      <c r="P940" t="s">
        <v>5108</v>
      </c>
      <c r="Q940" t="s">
        <v>5732</v>
      </c>
      <c r="R940" t="s">
        <v>5753</v>
      </c>
      <c r="T940" t="s">
        <v>4276</v>
      </c>
      <c r="V940" t="s">
        <v>5767</v>
      </c>
      <c r="W940" t="s">
        <v>5772</v>
      </c>
      <c r="X940" t="s">
        <v>265</v>
      </c>
      <c r="Y940">
        <v>1500</v>
      </c>
      <c r="Z940" t="s">
        <v>5803</v>
      </c>
      <c r="AA940" t="s">
        <v>5804</v>
      </c>
      <c r="AC940" t="s">
        <v>6692</v>
      </c>
      <c r="AD940" t="s">
        <v>4700</v>
      </c>
      <c r="AE940" t="s">
        <v>8672</v>
      </c>
      <c r="AF940">
        <v>0</v>
      </c>
      <c r="AG940" t="s">
        <v>9270</v>
      </c>
      <c r="AH940" t="s">
        <v>4280</v>
      </c>
      <c r="AI940">
        <v>1</v>
      </c>
      <c r="AJ940">
        <v>2</v>
      </c>
      <c r="AK940">
        <v>1</v>
      </c>
      <c r="AL940">
        <v>114.61</v>
      </c>
      <c r="AO940" t="s">
        <v>1425</v>
      </c>
      <c r="AP940">
        <v>23816</v>
      </c>
      <c r="AV940">
        <v>1</v>
      </c>
      <c r="AW940" t="s">
        <v>54</v>
      </c>
    </row>
    <row r="941" spans="1:49">
      <c r="A941" s="1">
        <f>HYPERLINK("https://cms.ls-nyc.org/matter/dynamic-profile/view/1896307","19-1896307")</f>
        <v>0</v>
      </c>
      <c r="B941" t="s">
        <v>71</v>
      </c>
      <c r="C941" t="s">
        <v>83</v>
      </c>
      <c r="D941" t="s">
        <v>246</v>
      </c>
      <c r="F941" t="s">
        <v>1017</v>
      </c>
      <c r="G941" t="s">
        <v>2085</v>
      </c>
      <c r="H941" t="s">
        <v>3300</v>
      </c>
      <c r="I941" t="s">
        <v>3948</v>
      </c>
      <c r="J941" t="s">
        <v>4222</v>
      </c>
      <c r="K941">
        <v>11434</v>
      </c>
      <c r="L941" t="s">
        <v>4275</v>
      </c>
      <c r="M941" t="s">
        <v>4275</v>
      </c>
      <c r="O941" t="s">
        <v>4281</v>
      </c>
      <c r="P941" t="s">
        <v>5109</v>
      </c>
      <c r="Q941" t="s">
        <v>5731</v>
      </c>
      <c r="R941" t="s">
        <v>5753</v>
      </c>
      <c r="V941" t="s">
        <v>5767</v>
      </c>
      <c r="X941" t="s">
        <v>246</v>
      </c>
      <c r="Y941">
        <v>1956</v>
      </c>
      <c r="Z941" t="s">
        <v>5803</v>
      </c>
      <c r="AC941" t="s">
        <v>6693</v>
      </c>
      <c r="AD941" t="s">
        <v>7629</v>
      </c>
      <c r="AE941" t="s">
        <v>8673</v>
      </c>
      <c r="AF941">
        <v>2</v>
      </c>
      <c r="AG941" t="s">
        <v>9269</v>
      </c>
      <c r="AH941" t="s">
        <v>9284</v>
      </c>
      <c r="AI941">
        <v>2</v>
      </c>
      <c r="AJ941">
        <v>1</v>
      </c>
      <c r="AK941">
        <v>6</v>
      </c>
      <c r="AL941">
        <v>121.04</v>
      </c>
      <c r="AP941">
        <v>47216</v>
      </c>
      <c r="AV941">
        <v>27</v>
      </c>
      <c r="AW941" t="s">
        <v>74</v>
      </c>
    </row>
    <row r="942" spans="1:49">
      <c r="A942" s="1">
        <f>HYPERLINK("https://cms.ls-nyc.org/matter/dynamic-profile/view/1877052","18-1877052")</f>
        <v>0</v>
      </c>
      <c r="B942" t="s">
        <v>71</v>
      </c>
      <c r="C942" t="s">
        <v>82</v>
      </c>
      <c r="D942" t="s">
        <v>252</v>
      </c>
      <c r="E942" t="s">
        <v>187</v>
      </c>
      <c r="F942" t="s">
        <v>1018</v>
      </c>
      <c r="G942" t="s">
        <v>2086</v>
      </c>
      <c r="H942" t="s">
        <v>3158</v>
      </c>
      <c r="I942" t="s">
        <v>3881</v>
      </c>
      <c r="J942" t="s">
        <v>4222</v>
      </c>
      <c r="K942">
        <v>11432</v>
      </c>
      <c r="L942" t="s">
        <v>4275</v>
      </c>
      <c r="M942" t="s">
        <v>4275</v>
      </c>
      <c r="O942" t="s">
        <v>4282</v>
      </c>
      <c r="P942" t="s">
        <v>5110</v>
      </c>
      <c r="Q942" t="s">
        <v>5732</v>
      </c>
      <c r="R942" t="s">
        <v>5753</v>
      </c>
      <c r="S942" t="s">
        <v>5759</v>
      </c>
      <c r="T942" t="s">
        <v>4276</v>
      </c>
      <c r="V942" t="s">
        <v>5767</v>
      </c>
      <c r="W942" t="s">
        <v>5772</v>
      </c>
      <c r="X942" t="s">
        <v>255</v>
      </c>
      <c r="Y942">
        <v>1086</v>
      </c>
      <c r="Z942" t="s">
        <v>5803</v>
      </c>
      <c r="AA942" t="s">
        <v>5804</v>
      </c>
      <c r="AB942" t="s">
        <v>5821</v>
      </c>
      <c r="AC942" t="s">
        <v>6694</v>
      </c>
      <c r="AD942" t="s">
        <v>7630</v>
      </c>
      <c r="AE942" t="s">
        <v>8674</v>
      </c>
      <c r="AF942">
        <v>64</v>
      </c>
      <c r="AG942" t="s">
        <v>9275</v>
      </c>
      <c r="AH942" t="s">
        <v>9282</v>
      </c>
      <c r="AI942">
        <v>5</v>
      </c>
      <c r="AJ942">
        <v>1</v>
      </c>
      <c r="AK942">
        <v>0</v>
      </c>
      <c r="AL942">
        <v>123.56</v>
      </c>
      <c r="AO942" t="s">
        <v>1425</v>
      </c>
      <c r="AP942">
        <v>15000</v>
      </c>
      <c r="AV942">
        <v>0.25</v>
      </c>
      <c r="AW942" t="s">
        <v>54</v>
      </c>
    </row>
    <row r="943" spans="1:49">
      <c r="A943" s="1">
        <f>HYPERLINK("https://cms.ls-nyc.org/matter/dynamic-profile/view/1884006","18-1884006")</f>
        <v>0</v>
      </c>
      <c r="B943" t="s">
        <v>71</v>
      </c>
      <c r="C943" t="s">
        <v>82</v>
      </c>
      <c r="D943" t="s">
        <v>86</v>
      </c>
      <c r="E943" t="s">
        <v>303</v>
      </c>
      <c r="F943" t="s">
        <v>1019</v>
      </c>
      <c r="G943" t="s">
        <v>2087</v>
      </c>
      <c r="H943" t="s">
        <v>3301</v>
      </c>
      <c r="I943">
        <v>2</v>
      </c>
      <c r="J943" t="s">
        <v>4268</v>
      </c>
      <c r="K943">
        <v>11378</v>
      </c>
      <c r="L943" t="s">
        <v>4275</v>
      </c>
      <c r="M943" t="s">
        <v>4275</v>
      </c>
      <c r="O943" t="s">
        <v>4282</v>
      </c>
      <c r="P943" t="s">
        <v>5111</v>
      </c>
      <c r="Q943" t="s">
        <v>5731</v>
      </c>
      <c r="R943" t="s">
        <v>5753</v>
      </c>
      <c r="S943" t="s">
        <v>5759</v>
      </c>
      <c r="V943" t="s">
        <v>5767</v>
      </c>
      <c r="W943" t="s">
        <v>5774</v>
      </c>
      <c r="X943" t="s">
        <v>86</v>
      </c>
      <c r="Y943">
        <v>2300</v>
      </c>
      <c r="Z943" t="s">
        <v>5803</v>
      </c>
      <c r="AA943" t="s">
        <v>5804</v>
      </c>
      <c r="AB943" t="s">
        <v>5821</v>
      </c>
      <c r="AC943" t="s">
        <v>6695</v>
      </c>
      <c r="AD943" t="s">
        <v>4700</v>
      </c>
      <c r="AE943" t="s">
        <v>8675</v>
      </c>
      <c r="AF943">
        <v>2</v>
      </c>
      <c r="AH943" t="s">
        <v>4280</v>
      </c>
      <c r="AI943">
        <v>2</v>
      </c>
      <c r="AJ943">
        <v>2</v>
      </c>
      <c r="AK943">
        <v>2</v>
      </c>
      <c r="AL943">
        <v>134.66</v>
      </c>
      <c r="AO943" t="s">
        <v>1425</v>
      </c>
      <c r="AP943">
        <v>33800</v>
      </c>
      <c r="AV943">
        <v>1</v>
      </c>
      <c r="AW943" t="s">
        <v>73</v>
      </c>
    </row>
    <row r="944" spans="1:49">
      <c r="A944" s="1">
        <f>HYPERLINK("https://cms.ls-nyc.org/matter/dynamic-profile/view/1870388","18-1870388")</f>
        <v>0</v>
      </c>
      <c r="B944" t="s">
        <v>71</v>
      </c>
      <c r="C944" t="s">
        <v>82</v>
      </c>
      <c r="D944" t="s">
        <v>262</v>
      </c>
      <c r="E944" t="s">
        <v>288</v>
      </c>
      <c r="F944" t="s">
        <v>1020</v>
      </c>
      <c r="G944" t="s">
        <v>2088</v>
      </c>
      <c r="H944" t="s">
        <v>3302</v>
      </c>
      <c r="I944" t="s">
        <v>3908</v>
      </c>
      <c r="J944" t="s">
        <v>4232</v>
      </c>
      <c r="K944">
        <v>11104</v>
      </c>
      <c r="L944" t="s">
        <v>4275</v>
      </c>
      <c r="M944" t="s">
        <v>4275</v>
      </c>
      <c r="N944" t="s">
        <v>4278</v>
      </c>
      <c r="O944" t="s">
        <v>4282</v>
      </c>
      <c r="P944" t="s">
        <v>5112</v>
      </c>
      <c r="Q944" t="s">
        <v>5731</v>
      </c>
      <c r="R944" t="s">
        <v>5753</v>
      </c>
      <c r="S944" t="s">
        <v>5759</v>
      </c>
      <c r="T944" t="s">
        <v>5765</v>
      </c>
      <c r="V944" t="s">
        <v>5767</v>
      </c>
      <c r="W944" t="s">
        <v>5772</v>
      </c>
      <c r="X944" t="s">
        <v>5794</v>
      </c>
      <c r="Y944">
        <v>1971.57</v>
      </c>
      <c r="Z944" t="s">
        <v>5803</v>
      </c>
      <c r="AA944" t="s">
        <v>5804</v>
      </c>
      <c r="AB944" t="s">
        <v>5821</v>
      </c>
      <c r="AC944" t="s">
        <v>6696</v>
      </c>
      <c r="AE944" t="s">
        <v>8676</v>
      </c>
      <c r="AF944">
        <v>100</v>
      </c>
      <c r="AG944" t="s">
        <v>9272</v>
      </c>
      <c r="AH944" t="s">
        <v>4280</v>
      </c>
      <c r="AI944">
        <v>3</v>
      </c>
      <c r="AJ944">
        <v>1</v>
      </c>
      <c r="AK944">
        <v>0</v>
      </c>
      <c r="AL944">
        <v>144.6</v>
      </c>
      <c r="AP944">
        <v>17555</v>
      </c>
      <c r="AV944">
        <v>0.5</v>
      </c>
      <c r="AW944" t="s">
        <v>74</v>
      </c>
    </row>
    <row r="945" spans="1:49">
      <c r="A945" s="1">
        <f>HYPERLINK("https://cms.ls-nyc.org/matter/dynamic-profile/view/1876135","18-1876135")</f>
        <v>0</v>
      </c>
      <c r="B945" t="s">
        <v>71</v>
      </c>
      <c r="C945" t="s">
        <v>82</v>
      </c>
      <c r="D945" t="s">
        <v>260</v>
      </c>
      <c r="E945" t="s">
        <v>207</v>
      </c>
      <c r="F945" t="s">
        <v>1021</v>
      </c>
      <c r="G945" t="s">
        <v>2089</v>
      </c>
      <c r="H945" t="s">
        <v>3303</v>
      </c>
      <c r="I945" t="s">
        <v>4110</v>
      </c>
      <c r="J945" t="s">
        <v>4243</v>
      </c>
      <c r="K945">
        <v>11691</v>
      </c>
      <c r="L945" t="s">
        <v>4275</v>
      </c>
      <c r="M945" t="s">
        <v>4275</v>
      </c>
      <c r="O945" t="s">
        <v>4283</v>
      </c>
      <c r="P945" t="s">
        <v>5113</v>
      </c>
      <c r="Q945" t="s">
        <v>5732</v>
      </c>
      <c r="R945" t="s">
        <v>5753</v>
      </c>
      <c r="S945" t="s">
        <v>5759</v>
      </c>
      <c r="T945" t="s">
        <v>4276</v>
      </c>
      <c r="V945" t="s">
        <v>5767</v>
      </c>
      <c r="W945" t="s">
        <v>5772</v>
      </c>
      <c r="X945" t="s">
        <v>260</v>
      </c>
      <c r="Y945">
        <v>550</v>
      </c>
      <c r="Z945" t="s">
        <v>5803</v>
      </c>
      <c r="AA945" t="s">
        <v>5804</v>
      </c>
      <c r="AB945" t="s">
        <v>5821</v>
      </c>
      <c r="AC945" t="s">
        <v>6697</v>
      </c>
      <c r="AD945" t="s">
        <v>4280</v>
      </c>
      <c r="AE945" t="s">
        <v>8677</v>
      </c>
      <c r="AF945">
        <v>3</v>
      </c>
      <c r="AG945" t="s">
        <v>9269</v>
      </c>
      <c r="AH945" t="s">
        <v>4280</v>
      </c>
      <c r="AI945">
        <v>4</v>
      </c>
      <c r="AJ945">
        <v>2</v>
      </c>
      <c r="AK945">
        <v>0</v>
      </c>
      <c r="AL945">
        <v>145.81</v>
      </c>
      <c r="AO945" t="s">
        <v>1425</v>
      </c>
      <c r="AP945">
        <v>24000</v>
      </c>
      <c r="AV945">
        <v>1</v>
      </c>
      <c r="AW945" t="s">
        <v>73</v>
      </c>
    </row>
    <row r="946" spans="1:49">
      <c r="A946" s="1">
        <f>HYPERLINK("https://cms.ls-nyc.org/matter/dynamic-profile/view/1895387","19-1895387")</f>
        <v>0</v>
      </c>
      <c r="B946" t="s">
        <v>71</v>
      </c>
      <c r="C946" t="s">
        <v>82</v>
      </c>
      <c r="D946" t="s">
        <v>238</v>
      </c>
      <c r="E946" t="s">
        <v>95</v>
      </c>
      <c r="F946" t="s">
        <v>1022</v>
      </c>
      <c r="G946" t="s">
        <v>993</v>
      </c>
      <c r="H946" t="s">
        <v>3304</v>
      </c>
      <c r="J946" t="s">
        <v>4239</v>
      </c>
      <c r="K946">
        <v>11420</v>
      </c>
      <c r="L946" t="s">
        <v>4277</v>
      </c>
      <c r="M946" t="s">
        <v>4277</v>
      </c>
      <c r="O946" t="s">
        <v>4282</v>
      </c>
      <c r="P946" t="s">
        <v>5114</v>
      </c>
      <c r="Q946" t="s">
        <v>5732</v>
      </c>
      <c r="R946" t="s">
        <v>5753</v>
      </c>
      <c r="S946" t="s">
        <v>5759</v>
      </c>
      <c r="T946" t="s">
        <v>4276</v>
      </c>
      <c r="V946" t="s">
        <v>5767</v>
      </c>
      <c r="W946" t="s">
        <v>5772</v>
      </c>
      <c r="Y946">
        <v>1867</v>
      </c>
      <c r="Z946" t="s">
        <v>5803</v>
      </c>
      <c r="AA946" t="s">
        <v>5804</v>
      </c>
      <c r="AB946" t="s">
        <v>5821</v>
      </c>
      <c r="AC946" t="s">
        <v>6698</v>
      </c>
      <c r="AE946" t="s">
        <v>8678</v>
      </c>
      <c r="AF946">
        <v>0</v>
      </c>
      <c r="AG946" t="s">
        <v>9269</v>
      </c>
      <c r="AH946" t="s">
        <v>9282</v>
      </c>
      <c r="AI946">
        <v>10</v>
      </c>
      <c r="AJ946">
        <v>1</v>
      </c>
      <c r="AK946">
        <v>2</v>
      </c>
      <c r="AL946">
        <v>150.02</v>
      </c>
      <c r="AO946" t="s">
        <v>1425</v>
      </c>
      <c r="AP946">
        <v>32000</v>
      </c>
      <c r="AV946">
        <v>1.45</v>
      </c>
      <c r="AW946" t="s">
        <v>71</v>
      </c>
    </row>
    <row r="947" spans="1:49">
      <c r="A947" s="1">
        <f>HYPERLINK("https://cms.ls-nyc.org/matter/dynamic-profile/view/1875519","18-1875519")</f>
        <v>0</v>
      </c>
      <c r="B947" t="s">
        <v>71</v>
      </c>
      <c r="C947" t="s">
        <v>82</v>
      </c>
      <c r="D947" t="s">
        <v>263</v>
      </c>
      <c r="E947" t="s">
        <v>282</v>
      </c>
      <c r="F947" t="s">
        <v>401</v>
      </c>
      <c r="G947" t="s">
        <v>2090</v>
      </c>
      <c r="H947" t="s">
        <v>3305</v>
      </c>
      <c r="I947" t="s">
        <v>3859</v>
      </c>
      <c r="J947" t="s">
        <v>4251</v>
      </c>
      <c r="K947">
        <v>11377</v>
      </c>
      <c r="L947" t="s">
        <v>4275</v>
      </c>
      <c r="M947" t="s">
        <v>4275</v>
      </c>
      <c r="O947" t="s">
        <v>4282</v>
      </c>
      <c r="P947" t="s">
        <v>5115</v>
      </c>
      <c r="Q947" t="s">
        <v>5731</v>
      </c>
      <c r="R947" t="s">
        <v>5751</v>
      </c>
      <c r="S947" t="s">
        <v>5758</v>
      </c>
      <c r="T947" t="s">
        <v>4276</v>
      </c>
      <c r="V947" t="s">
        <v>5767</v>
      </c>
      <c r="W947" t="s">
        <v>5772</v>
      </c>
      <c r="X947" t="s">
        <v>118</v>
      </c>
      <c r="Y947">
        <v>1604</v>
      </c>
      <c r="Z947" t="s">
        <v>5803</v>
      </c>
      <c r="AA947" t="s">
        <v>5804</v>
      </c>
      <c r="AB947" t="s">
        <v>5820</v>
      </c>
      <c r="AC947" t="s">
        <v>6699</v>
      </c>
      <c r="AD947" t="s">
        <v>7631</v>
      </c>
      <c r="AE947" t="s">
        <v>8679</v>
      </c>
      <c r="AF947">
        <v>31</v>
      </c>
      <c r="AG947" t="s">
        <v>9272</v>
      </c>
      <c r="AH947" t="s">
        <v>4280</v>
      </c>
      <c r="AI947">
        <v>8</v>
      </c>
      <c r="AJ947">
        <v>1</v>
      </c>
      <c r="AK947">
        <v>0</v>
      </c>
      <c r="AL947">
        <v>153.21</v>
      </c>
      <c r="AO947" t="s">
        <v>1425</v>
      </c>
      <c r="AP947">
        <v>18600</v>
      </c>
      <c r="AS947" t="s">
        <v>9340</v>
      </c>
      <c r="AT947" t="s">
        <v>9369</v>
      </c>
      <c r="AU947" t="s">
        <v>9439</v>
      </c>
      <c r="AV947">
        <v>4</v>
      </c>
      <c r="AW947" t="s">
        <v>73</v>
      </c>
    </row>
    <row r="948" spans="1:49">
      <c r="A948" s="1">
        <f>HYPERLINK("https://cms.ls-nyc.org/matter/dynamic-profile/view/1894495","19-1894495")</f>
        <v>0</v>
      </c>
      <c r="B948" t="s">
        <v>71</v>
      </c>
      <c r="C948" t="s">
        <v>82</v>
      </c>
      <c r="D948" t="s">
        <v>169</v>
      </c>
      <c r="E948" t="s">
        <v>288</v>
      </c>
      <c r="F948" t="s">
        <v>752</v>
      </c>
      <c r="G948" t="s">
        <v>1480</v>
      </c>
      <c r="H948" t="s">
        <v>3306</v>
      </c>
      <c r="I948" t="s">
        <v>4111</v>
      </c>
      <c r="J948" t="s">
        <v>4227</v>
      </c>
      <c r="K948">
        <v>11365</v>
      </c>
      <c r="L948" t="s">
        <v>4275</v>
      </c>
      <c r="M948" t="s">
        <v>4275</v>
      </c>
      <c r="N948" t="s">
        <v>4278</v>
      </c>
      <c r="O948" t="s">
        <v>4282</v>
      </c>
      <c r="P948" t="s">
        <v>5116</v>
      </c>
      <c r="Q948" t="s">
        <v>5731</v>
      </c>
      <c r="R948" t="s">
        <v>5753</v>
      </c>
      <c r="S948" t="s">
        <v>5759</v>
      </c>
      <c r="T948" t="s">
        <v>4276</v>
      </c>
      <c r="V948" t="s">
        <v>5767</v>
      </c>
      <c r="W948" t="s">
        <v>5774</v>
      </c>
      <c r="X948" t="s">
        <v>169</v>
      </c>
      <c r="Y948">
        <v>1080</v>
      </c>
      <c r="Z948" t="s">
        <v>5803</v>
      </c>
      <c r="AA948" t="s">
        <v>5804</v>
      </c>
      <c r="AB948" t="s">
        <v>5821</v>
      </c>
      <c r="AC948" t="s">
        <v>5975</v>
      </c>
      <c r="AE948" t="s">
        <v>8680</v>
      </c>
      <c r="AF948">
        <v>0</v>
      </c>
      <c r="AG948" t="s">
        <v>9270</v>
      </c>
      <c r="AH948" t="s">
        <v>4280</v>
      </c>
      <c r="AI948">
        <v>20</v>
      </c>
      <c r="AJ948">
        <v>2</v>
      </c>
      <c r="AK948">
        <v>2</v>
      </c>
      <c r="AL948">
        <v>162.33</v>
      </c>
      <c r="AO948" t="s">
        <v>1425</v>
      </c>
      <c r="AP948">
        <v>41800</v>
      </c>
      <c r="AV948">
        <v>1.3</v>
      </c>
      <c r="AW948" t="s">
        <v>54</v>
      </c>
    </row>
    <row r="949" spans="1:49">
      <c r="A949" s="1">
        <f>HYPERLINK("https://cms.ls-nyc.org/matter/dynamic-profile/view/1895410","19-1895410")</f>
        <v>0</v>
      </c>
      <c r="B949" t="s">
        <v>71</v>
      </c>
      <c r="C949" t="s">
        <v>83</v>
      </c>
      <c r="D949" t="s">
        <v>238</v>
      </c>
      <c r="F949" t="s">
        <v>1023</v>
      </c>
      <c r="G949" t="s">
        <v>2091</v>
      </c>
      <c r="H949" t="s">
        <v>3307</v>
      </c>
      <c r="I949" t="s">
        <v>3934</v>
      </c>
      <c r="J949" t="s">
        <v>4249</v>
      </c>
      <c r="K949">
        <v>11428</v>
      </c>
      <c r="L949" t="s">
        <v>4277</v>
      </c>
      <c r="M949" t="s">
        <v>4277</v>
      </c>
      <c r="O949" t="s">
        <v>4282</v>
      </c>
      <c r="P949" t="s">
        <v>5117</v>
      </c>
      <c r="Q949" t="s">
        <v>5731</v>
      </c>
      <c r="R949" t="s">
        <v>5753</v>
      </c>
      <c r="T949" t="s">
        <v>4276</v>
      </c>
      <c r="V949" t="s">
        <v>5767</v>
      </c>
      <c r="W949" t="s">
        <v>5772</v>
      </c>
      <c r="Y949">
        <v>851.4</v>
      </c>
      <c r="Z949" t="s">
        <v>5803</v>
      </c>
      <c r="AA949" t="s">
        <v>5804</v>
      </c>
      <c r="AC949" t="s">
        <v>6700</v>
      </c>
      <c r="AE949" t="s">
        <v>8681</v>
      </c>
      <c r="AF949">
        <v>54</v>
      </c>
      <c r="AG949" t="s">
        <v>9275</v>
      </c>
      <c r="AI949">
        <v>10</v>
      </c>
      <c r="AJ949">
        <v>1</v>
      </c>
      <c r="AK949">
        <v>0</v>
      </c>
      <c r="AL949">
        <v>167.85</v>
      </c>
      <c r="AO949" t="s">
        <v>9319</v>
      </c>
      <c r="AP949">
        <v>20964</v>
      </c>
      <c r="AV949">
        <v>1.1</v>
      </c>
      <c r="AW949" t="s">
        <v>71</v>
      </c>
    </row>
    <row r="950" spans="1:49">
      <c r="A950" s="1">
        <f>HYPERLINK("https://cms.ls-nyc.org/matter/dynamic-profile/view/1874512","18-1874512")</f>
        <v>0</v>
      </c>
      <c r="B950" t="s">
        <v>71</v>
      </c>
      <c r="C950" t="s">
        <v>82</v>
      </c>
      <c r="D950" t="s">
        <v>212</v>
      </c>
      <c r="E950" t="s">
        <v>207</v>
      </c>
      <c r="F950" t="s">
        <v>1024</v>
      </c>
      <c r="G950" t="s">
        <v>2092</v>
      </c>
      <c r="H950" t="s">
        <v>3308</v>
      </c>
      <c r="I950" t="s">
        <v>3927</v>
      </c>
      <c r="J950" t="s">
        <v>4263</v>
      </c>
      <c r="K950">
        <v>11426</v>
      </c>
      <c r="L950" t="s">
        <v>4275</v>
      </c>
      <c r="M950" t="s">
        <v>4275</v>
      </c>
      <c r="O950" t="s">
        <v>4282</v>
      </c>
      <c r="P950" t="s">
        <v>5118</v>
      </c>
      <c r="Q950" t="s">
        <v>5731</v>
      </c>
      <c r="R950" t="s">
        <v>5751</v>
      </c>
      <c r="S950" t="s">
        <v>5758</v>
      </c>
      <c r="T950" t="s">
        <v>4276</v>
      </c>
      <c r="V950" t="s">
        <v>5767</v>
      </c>
      <c r="W950" t="s">
        <v>5772</v>
      </c>
      <c r="X950" t="s">
        <v>212</v>
      </c>
      <c r="Y950">
        <v>1000</v>
      </c>
      <c r="Z950" t="s">
        <v>5803</v>
      </c>
      <c r="AA950" t="s">
        <v>5804</v>
      </c>
      <c r="AB950" t="s">
        <v>5820</v>
      </c>
      <c r="AC950" t="s">
        <v>6701</v>
      </c>
      <c r="AD950" t="s">
        <v>4700</v>
      </c>
      <c r="AE950" t="s">
        <v>8682</v>
      </c>
      <c r="AF950">
        <v>2</v>
      </c>
      <c r="AG950" t="s">
        <v>9269</v>
      </c>
      <c r="AH950" t="s">
        <v>4280</v>
      </c>
      <c r="AI950">
        <v>2</v>
      </c>
      <c r="AJ950">
        <v>1</v>
      </c>
      <c r="AK950">
        <v>0</v>
      </c>
      <c r="AL950">
        <v>181.22</v>
      </c>
      <c r="AN950" t="s">
        <v>9294</v>
      </c>
      <c r="AO950" t="s">
        <v>1425</v>
      </c>
      <c r="AP950">
        <v>22000</v>
      </c>
      <c r="AR950" t="s">
        <v>9329</v>
      </c>
      <c r="AS950" t="s">
        <v>9336</v>
      </c>
      <c r="AT950" t="s">
        <v>9369</v>
      </c>
      <c r="AU950" t="s">
        <v>9517</v>
      </c>
      <c r="AV950">
        <v>14.8</v>
      </c>
      <c r="AW950" t="s">
        <v>54</v>
      </c>
    </row>
    <row r="951" spans="1:49">
      <c r="A951" s="1">
        <f>HYPERLINK("https://cms.ls-nyc.org/matter/dynamic-profile/view/1872295","18-1872295")</f>
        <v>0</v>
      </c>
      <c r="B951" t="s">
        <v>71</v>
      </c>
      <c r="C951" t="s">
        <v>83</v>
      </c>
      <c r="D951" t="s">
        <v>264</v>
      </c>
      <c r="F951" t="s">
        <v>1025</v>
      </c>
      <c r="G951" t="s">
        <v>2093</v>
      </c>
      <c r="H951" t="s">
        <v>3309</v>
      </c>
      <c r="J951" t="s">
        <v>4222</v>
      </c>
      <c r="K951">
        <v>11433</v>
      </c>
      <c r="L951" t="s">
        <v>4275</v>
      </c>
      <c r="M951" t="s">
        <v>4275</v>
      </c>
      <c r="O951" t="s">
        <v>4281</v>
      </c>
      <c r="P951" t="s">
        <v>5119</v>
      </c>
      <c r="Q951" t="s">
        <v>5732</v>
      </c>
      <c r="R951" t="s">
        <v>5753</v>
      </c>
      <c r="T951" t="s">
        <v>4276</v>
      </c>
      <c r="V951" t="s">
        <v>5767</v>
      </c>
      <c r="X951" t="s">
        <v>264</v>
      </c>
      <c r="Y951">
        <v>670</v>
      </c>
      <c r="Z951" t="s">
        <v>5803</v>
      </c>
      <c r="AA951" t="s">
        <v>5804</v>
      </c>
      <c r="AC951" t="s">
        <v>6702</v>
      </c>
      <c r="AD951" t="s">
        <v>4280</v>
      </c>
      <c r="AE951" t="s">
        <v>8683</v>
      </c>
      <c r="AF951">
        <v>1</v>
      </c>
      <c r="AG951" t="s">
        <v>9269</v>
      </c>
      <c r="AH951" t="s">
        <v>4280</v>
      </c>
      <c r="AI951">
        <v>1</v>
      </c>
      <c r="AJ951">
        <v>2</v>
      </c>
      <c r="AK951">
        <v>0</v>
      </c>
      <c r="AL951">
        <v>182.26</v>
      </c>
      <c r="AO951" t="s">
        <v>1425</v>
      </c>
      <c r="AP951">
        <v>30000</v>
      </c>
      <c r="AV951">
        <v>12.5</v>
      </c>
      <c r="AW951" t="s">
        <v>73</v>
      </c>
    </row>
    <row r="952" spans="1:49">
      <c r="A952" s="1">
        <f>HYPERLINK("https://cms.ls-nyc.org/matter/dynamic-profile/view/1872538","18-1872538")</f>
        <v>0</v>
      </c>
      <c r="B952" t="s">
        <v>71</v>
      </c>
      <c r="C952" t="s">
        <v>82</v>
      </c>
      <c r="D952" t="s">
        <v>143</v>
      </c>
      <c r="E952" t="s">
        <v>216</v>
      </c>
      <c r="F952" t="s">
        <v>1026</v>
      </c>
      <c r="G952" t="s">
        <v>2094</v>
      </c>
      <c r="H952" t="s">
        <v>3111</v>
      </c>
      <c r="I952" t="s">
        <v>3871</v>
      </c>
      <c r="J952" t="s">
        <v>4254</v>
      </c>
      <c r="K952">
        <v>11692</v>
      </c>
      <c r="L952" t="s">
        <v>4275</v>
      </c>
      <c r="M952" t="s">
        <v>4275</v>
      </c>
      <c r="N952" t="s">
        <v>4278</v>
      </c>
      <c r="O952" t="s">
        <v>4283</v>
      </c>
      <c r="P952" t="s">
        <v>5120</v>
      </c>
      <c r="Q952" t="s">
        <v>5733</v>
      </c>
      <c r="R952" t="s">
        <v>5753</v>
      </c>
      <c r="S952" t="s">
        <v>5759</v>
      </c>
      <c r="T952" t="s">
        <v>4276</v>
      </c>
      <c r="V952" t="s">
        <v>5767</v>
      </c>
      <c r="W952" t="s">
        <v>5772</v>
      </c>
      <c r="X952" t="s">
        <v>251</v>
      </c>
      <c r="Y952">
        <v>1141.84</v>
      </c>
      <c r="Z952" t="s">
        <v>5803</v>
      </c>
      <c r="AA952" t="s">
        <v>5804</v>
      </c>
      <c r="AB952" t="s">
        <v>5821</v>
      </c>
      <c r="AC952" t="s">
        <v>6703</v>
      </c>
      <c r="AD952" t="s">
        <v>4280</v>
      </c>
      <c r="AE952" t="s">
        <v>8684</v>
      </c>
      <c r="AF952">
        <v>53</v>
      </c>
      <c r="AG952" t="s">
        <v>9278</v>
      </c>
      <c r="AH952" t="s">
        <v>9282</v>
      </c>
      <c r="AI952">
        <v>5</v>
      </c>
      <c r="AJ952">
        <v>1</v>
      </c>
      <c r="AK952">
        <v>1</v>
      </c>
      <c r="AL952">
        <v>186.69</v>
      </c>
      <c r="AO952" t="s">
        <v>1425</v>
      </c>
      <c r="AP952">
        <v>30729</v>
      </c>
      <c r="AV952">
        <v>1</v>
      </c>
      <c r="AW952" t="s">
        <v>73</v>
      </c>
    </row>
    <row r="953" spans="1:49">
      <c r="A953" s="1">
        <f>HYPERLINK("https://cms.ls-nyc.org/matter/dynamic-profile/view/1873270","18-1873270")</f>
        <v>0</v>
      </c>
      <c r="B953" t="s">
        <v>71</v>
      </c>
      <c r="C953" t="s">
        <v>82</v>
      </c>
      <c r="D953" t="s">
        <v>133</v>
      </c>
      <c r="E953" t="s">
        <v>282</v>
      </c>
      <c r="F953" t="s">
        <v>481</v>
      </c>
      <c r="G953" t="s">
        <v>375</v>
      </c>
      <c r="H953" t="s">
        <v>3310</v>
      </c>
      <c r="I953" t="s">
        <v>4112</v>
      </c>
      <c r="J953" t="s">
        <v>4222</v>
      </c>
      <c r="K953">
        <v>11434</v>
      </c>
      <c r="L953" t="s">
        <v>4275</v>
      </c>
      <c r="M953" t="s">
        <v>4275</v>
      </c>
      <c r="O953" t="s">
        <v>4281</v>
      </c>
      <c r="P953" t="s">
        <v>5121</v>
      </c>
      <c r="Q953" t="s">
        <v>5731</v>
      </c>
      <c r="R953" t="s">
        <v>5751</v>
      </c>
      <c r="S953" t="s">
        <v>5762</v>
      </c>
      <c r="T953" t="s">
        <v>4276</v>
      </c>
      <c r="V953" t="s">
        <v>5767</v>
      </c>
      <c r="W953" t="s">
        <v>5772</v>
      </c>
      <c r="X953" t="s">
        <v>5785</v>
      </c>
      <c r="Y953">
        <v>977</v>
      </c>
      <c r="Z953" t="s">
        <v>5803</v>
      </c>
      <c r="AA953" t="s">
        <v>5804</v>
      </c>
      <c r="AB953" t="s">
        <v>5820</v>
      </c>
      <c r="AC953" t="s">
        <v>6704</v>
      </c>
      <c r="AD953" t="s">
        <v>4280</v>
      </c>
      <c r="AE953" t="s">
        <v>8685</v>
      </c>
      <c r="AF953">
        <v>237</v>
      </c>
      <c r="AG953" t="s">
        <v>9273</v>
      </c>
      <c r="AH953" t="s">
        <v>4280</v>
      </c>
      <c r="AI953">
        <v>37</v>
      </c>
      <c r="AJ953">
        <v>1</v>
      </c>
      <c r="AK953">
        <v>2</v>
      </c>
      <c r="AL953">
        <v>192.01</v>
      </c>
      <c r="AO953" t="s">
        <v>1425</v>
      </c>
      <c r="AP953">
        <v>39900</v>
      </c>
      <c r="AR953" t="s">
        <v>9329</v>
      </c>
      <c r="AS953" t="s">
        <v>9336</v>
      </c>
      <c r="AT953" t="s">
        <v>9369</v>
      </c>
      <c r="AU953" t="s">
        <v>9518</v>
      </c>
      <c r="AV953">
        <v>6</v>
      </c>
      <c r="AW953" t="s">
        <v>71</v>
      </c>
    </row>
    <row r="954" spans="1:49">
      <c r="A954" s="1">
        <f>HYPERLINK("https://cms.ls-nyc.org/matter/dynamic-profile/view/1895140","19-1895140")</f>
        <v>0</v>
      </c>
      <c r="B954" t="s">
        <v>71</v>
      </c>
      <c r="C954" t="s">
        <v>83</v>
      </c>
      <c r="D954" t="s">
        <v>238</v>
      </c>
      <c r="F954" t="s">
        <v>1027</v>
      </c>
      <c r="G954" t="s">
        <v>375</v>
      </c>
      <c r="J954" t="s">
        <v>4225</v>
      </c>
      <c r="K954">
        <v>11385</v>
      </c>
      <c r="L954" t="s">
        <v>4277</v>
      </c>
      <c r="M954" t="s">
        <v>4275</v>
      </c>
      <c r="O954" t="s">
        <v>4281</v>
      </c>
      <c r="P954" t="s">
        <v>5122</v>
      </c>
      <c r="Q954" t="s">
        <v>5732</v>
      </c>
      <c r="R954" t="s">
        <v>5751</v>
      </c>
      <c r="T954" t="s">
        <v>4276</v>
      </c>
      <c r="V954" t="s">
        <v>5767</v>
      </c>
      <c r="X954" t="s">
        <v>238</v>
      </c>
      <c r="Y954">
        <v>1650</v>
      </c>
      <c r="Z954" t="s">
        <v>5803</v>
      </c>
      <c r="AA954" t="s">
        <v>5804</v>
      </c>
      <c r="AC954" t="s">
        <v>6705</v>
      </c>
      <c r="AD954" t="s">
        <v>4700</v>
      </c>
      <c r="AE954" t="s">
        <v>8686</v>
      </c>
      <c r="AF954">
        <v>2</v>
      </c>
      <c r="AG954" t="s">
        <v>9269</v>
      </c>
      <c r="AI954">
        <v>3</v>
      </c>
      <c r="AJ954">
        <v>1</v>
      </c>
      <c r="AK954">
        <v>3</v>
      </c>
      <c r="AL954">
        <v>194.17</v>
      </c>
      <c r="AO954" t="s">
        <v>1425</v>
      </c>
      <c r="AP954">
        <v>50000</v>
      </c>
      <c r="AV954">
        <v>7.15</v>
      </c>
      <c r="AW954" t="s">
        <v>55</v>
      </c>
    </row>
    <row r="955" spans="1:49">
      <c r="A955" s="1">
        <f>HYPERLINK("https://cms.ls-nyc.org/matter/dynamic-profile/view/1883080","18-1883080")</f>
        <v>0</v>
      </c>
      <c r="B955" t="s">
        <v>71</v>
      </c>
      <c r="C955" t="s">
        <v>82</v>
      </c>
      <c r="D955" t="s">
        <v>223</v>
      </c>
      <c r="E955" t="s">
        <v>250</v>
      </c>
      <c r="F955" t="s">
        <v>545</v>
      </c>
      <c r="G955" t="s">
        <v>2095</v>
      </c>
      <c r="H955" t="s">
        <v>3311</v>
      </c>
      <c r="I955" t="s">
        <v>3864</v>
      </c>
      <c r="J955" t="s">
        <v>4226</v>
      </c>
      <c r="K955">
        <v>11385</v>
      </c>
      <c r="L955" t="s">
        <v>4275</v>
      </c>
      <c r="M955" t="s">
        <v>4275</v>
      </c>
      <c r="N955" t="s">
        <v>4278</v>
      </c>
      <c r="O955" t="s">
        <v>4281</v>
      </c>
      <c r="P955" t="s">
        <v>5123</v>
      </c>
      <c r="Q955" t="s">
        <v>5732</v>
      </c>
      <c r="R955" t="s">
        <v>5751</v>
      </c>
      <c r="S955" t="s">
        <v>5759</v>
      </c>
      <c r="T955" t="s">
        <v>4276</v>
      </c>
      <c r="V955" t="s">
        <v>5767</v>
      </c>
      <c r="W955" t="s">
        <v>5775</v>
      </c>
      <c r="X955" t="s">
        <v>223</v>
      </c>
      <c r="Y955">
        <v>1275</v>
      </c>
      <c r="Z955" t="s">
        <v>5803</v>
      </c>
      <c r="AA955" t="s">
        <v>5804</v>
      </c>
      <c r="AB955" t="s">
        <v>5820</v>
      </c>
      <c r="AC955" t="s">
        <v>6706</v>
      </c>
      <c r="AD955" t="s">
        <v>7632</v>
      </c>
      <c r="AE955" t="s">
        <v>8687</v>
      </c>
      <c r="AF955">
        <v>3</v>
      </c>
      <c r="AG955" t="s">
        <v>9269</v>
      </c>
      <c r="AH955" t="s">
        <v>4280</v>
      </c>
      <c r="AI955">
        <v>10</v>
      </c>
      <c r="AJ955">
        <v>1</v>
      </c>
      <c r="AK955">
        <v>1</v>
      </c>
      <c r="AL955">
        <v>194.8</v>
      </c>
      <c r="AO955" t="s">
        <v>1425</v>
      </c>
      <c r="AP955">
        <v>32064</v>
      </c>
      <c r="AT955" t="s">
        <v>9369</v>
      </c>
      <c r="AU955" t="s">
        <v>9519</v>
      </c>
      <c r="AV955">
        <v>3.1</v>
      </c>
      <c r="AW955" t="s">
        <v>73</v>
      </c>
    </row>
    <row r="956" spans="1:49">
      <c r="A956" s="1">
        <f>HYPERLINK("https://cms.ls-nyc.org/matter/dynamic-profile/view/1884399","18-1884399")</f>
        <v>0</v>
      </c>
      <c r="B956" t="s">
        <v>71</v>
      </c>
      <c r="C956" t="s">
        <v>83</v>
      </c>
      <c r="D956" t="s">
        <v>190</v>
      </c>
      <c r="F956" t="s">
        <v>1028</v>
      </c>
      <c r="G956" t="s">
        <v>2096</v>
      </c>
      <c r="H956" t="s">
        <v>3312</v>
      </c>
      <c r="I956">
        <v>506</v>
      </c>
      <c r="J956" t="s">
        <v>4229</v>
      </c>
      <c r="K956">
        <v>11355</v>
      </c>
      <c r="L956" t="s">
        <v>4275</v>
      </c>
      <c r="M956" t="s">
        <v>4275</v>
      </c>
      <c r="O956" t="s">
        <v>4282</v>
      </c>
      <c r="P956" t="s">
        <v>5124</v>
      </c>
      <c r="Q956" t="s">
        <v>5731</v>
      </c>
      <c r="R956" t="s">
        <v>5751</v>
      </c>
      <c r="T956" t="s">
        <v>4276</v>
      </c>
      <c r="V956" t="s">
        <v>5767</v>
      </c>
      <c r="W956" t="s">
        <v>5771</v>
      </c>
      <c r="X956" t="s">
        <v>149</v>
      </c>
      <c r="Y956">
        <v>1325</v>
      </c>
      <c r="Z956" t="s">
        <v>5803</v>
      </c>
      <c r="AA956" t="s">
        <v>5804</v>
      </c>
      <c r="AC956" t="s">
        <v>6707</v>
      </c>
      <c r="AE956" t="s">
        <v>8688</v>
      </c>
      <c r="AF956">
        <v>47</v>
      </c>
      <c r="AG956" t="s">
        <v>9270</v>
      </c>
      <c r="AH956" t="s">
        <v>4280</v>
      </c>
      <c r="AI956">
        <v>3</v>
      </c>
      <c r="AJ956">
        <v>2</v>
      </c>
      <c r="AK956">
        <v>0</v>
      </c>
      <c r="AL956">
        <v>217.5</v>
      </c>
      <c r="AM956" t="s">
        <v>138</v>
      </c>
      <c r="AN956" t="s">
        <v>9293</v>
      </c>
      <c r="AO956" t="s">
        <v>1425</v>
      </c>
      <c r="AP956">
        <v>35800</v>
      </c>
      <c r="AV956">
        <v>13.65</v>
      </c>
      <c r="AW956" t="s">
        <v>68</v>
      </c>
    </row>
    <row r="957" spans="1:49">
      <c r="A957" s="1">
        <f>HYPERLINK("https://cms.ls-nyc.org/matter/dynamic-profile/view/1875582","18-1875582")</f>
        <v>0</v>
      </c>
      <c r="B957" t="s">
        <v>71</v>
      </c>
      <c r="C957" t="s">
        <v>82</v>
      </c>
      <c r="D957" t="s">
        <v>122</v>
      </c>
      <c r="E957" t="s">
        <v>187</v>
      </c>
      <c r="F957" t="s">
        <v>1029</v>
      </c>
      <c r="G957" t="s">
        <v>2097</v>
      </c>
      <c r="H957" t="s">
        <v>3313</v>
      </c>
      <c r="I957" t="s">
        <v>4048</v>
      </c>
      <c r="J957" t="s">
        <v>4252</v>
      </c>
      <c r="K957">
        <v>11374</v>
      </c>
      <c r="L957" t="s">
        <v>4275</v>
      </c>
      <c r="M957" t="s">
        <v>4275</v>
      </c>
      <c r="O957" t="s">
        <v>4282</v>
      </c>
      <c r="P957" t="s">
        <v>5125</v>
      </c>
      <c r="Q957" t="s">
        <v>5731</v>
      </c>
      <c r="R957" t="s">
        <v>5751</v>
      </c>
      <c r="S957" t="s">
        <v>5758</v>
      </c>
      <c r="T957" t="s">
        <v>4276</v>
      </c>
      <c r="V957" t="s">
        <v>5767</v>
      </c>
      <c r="X957" t="s">
        <v>255</v>
      </c>
      <c r="Y957">
        <v>1670.63</v>
      </c>
      <c r="Z957" t="s">
        <v>5803</v>
      </c>
      <c r="AA957" t="s">
        <v>5804</v>
      </c>
      <c r="AB957" t="s">
        <v>5822</v>
      </c>
      <c r="AC957" t="s">
        <v>6708</v>
      </c>
      <c r="AD957" t="s">
        <v>4280</v>
      </c>
      <c r="AE957" t="s">
        <v>8689</v>
      </c>
      <c r="AF957">
        <v>50</v>
      </c>
      <c r="AG957" t="s">
        <v>9272</v>
      </c>
      <c r="AH957" t="s">
        <v>4280</v>
      </c>
      <c r="AI957">
        <v>4</v>
      </c>
      <c r="AJ957">
        <v>1</v>
      </c>
      <c r="AK957">
        <v>1</v>
      </c>
      <c r="AL957">
        <v>221.14</v>
      </c>
      <c r="AM957" t="s">
        <v>138</v>
      </c>
      <c r="AN957" t="s">
        <v>9293</v>
      </c>
      <c r="AO957" t="s">
        <v>1425</v>
      </c>
      <c r="AP957">
        <v>36400</v>
      </c>
      <c r="AS957" t="s">
        <v>9340</v>
      </c>
      <c r="AT957" t="s">
        <v>9370</v>
      </c>
      <c r="AU957" t="s">
        <v>9520</v>
      </c>
      <c r="AV957">
        <v>4.35</v>
      </c>
      <c r="AW957" t="s">
        <v>73</v>
      </c>
    </row>
    <row r="958" spans="1:49">
      <c r="A958" s="1">
        <f>HYPERLINK("https://cms.ls-nyc.org/matter/dynamic-profile/view/1878116","18-1878116")</f>
        <v>0</v>
      </c>
      <c r="B958" t="s">
        <v>71</v>
      </c>
      <c r="C958" t="s">
        <v>82</v>
      </c>
      <c r="D958" t="s">
        <v>188</v>
      </c>
      <c r="E958" t="s">
        <v>207</v>
      </c>
      <c r="F958" t="s">
        <v>700</v>
      </c>
      <c r="G958" t="s">
        <v>2098</v>
      </c>
      <c r="H958" t="s">
        <v>3314</v>
      </c>
      <c r="I958" t="s">
        <v>3890</v>
      </c>
      <c r="J958" t="s">
        <v>4225</v>
      </c>
      <c r="K958">
        <v>11385</v>
      </c>
      <c r="L958" t="s">
        <v>4275</v>
      </c>
      <c r="M958" t="s">
        <v>4275</v>
      </c>
      <c r="O958" t="s">
        <v>4281</v>
      </c>
      <c r="P958" t="s">
        <v>5126</v>
      </c>
      <c r="Q958" t="s">
        <v>5731</v>
      </c>
      <c r="R958" t="s">
        <v>5751</v>
      </c>
      <c r="S958" t="s">
        <v>5758</v>
      </c>
      <c r="T958" t="s">
        <v>4276</v>
      </c>
      <c r="V958" t="s">
        <v>5767</v>
      </c>
      <c r="W958" t="s">
        <v>5772</v>
      </c>
      <c r="X958" t="s">
        <v>188</v>
      </c>
      <c r="Y958">
        <v>1049</v>
      </c>
      <c r="Z958" t="s">
        <v>5803</v>
      </c>
      <c r="AA958" t="s">
        <v>5804</v>
      </c>
      <c r="AB958" t="s">
        <v>5820</v>
      </c>
      <c r="AC958" t="s">
        <v>6709</v>
      </c>
      <c r="AE958" t="s">
        <v>8690</v>
      </c>
      <c r="AF958">
        <v>6</v>
      </c>
      <c r="AG958" t="s">
        <v>9272</v>
      </c>
      <c r="AH958" t="s">
        <v>4280</v>
      </c>
      <c r="AI958">
        <v>24</v>
      </c>
      <c r="AJ958">
        <v>2</v>
      </c>
      <c r="AK958">
        <v>1</v>
      </c>
      <c r="AL958">
        <v>276.61</v>
      </c>
      <c r="AM958" t="s">
        <v>213</v>
      </c>
      <c r="AN958" t="s">
        <v>9293</v>
      </c>
      <c r="AP958">
        <v>57480</v>
      </c>
      <c r="AS958" t="s">
        <v>9365</v>
      </c>
      <c r="AT958" t="s">
        <v>9369</v>
      </c>
      <c r="AU958" t="s">
        <v>9423</v>
      </c>
      <c r="AV958">
        <v>7.7</v>
      </c>
      <c r="AW958" t="s">
        <v>74</v>
      </c>
    </row>
    <row r="959" spans="1:49">
      <c r="A959" s="1">
        <f>HYPERLINK("https://cms.ls-nyc.org/matter/dynamic-profile/view/1895397","19-1895397")</f>
        <v>0</v>
      </c>
      <c r="B959" t="s">
        <v>71</v>
      </c>
      <c r="C959" t="s">
        <v>83</v>
      </c>
      <c r="D959" t="s">
        <v>238</v>
      </c>
      <c r="F959" t="s">
        <v>1030</v>
      </c>
      <c r="G959" t="s">
        <v>1453</v>
      </c>
      <c r="H959" t="s">
        <v>3315</v>
      </c>
      <c r="J959" t="s">
        <v>4227</v>
      </c>
      <c r="K959">
        <v>11365</v>
      </c>
      <c r="L959" t="s">
        <v>4277</v>
      </c>
      <c r="M959" t="s">
        <v>4277</v>
      </c>
      <c r="O959" t="s">
        <v>4282</v>
      </c>
      <c r="P959" t="s">
        <v>5127</v>
      </c>
      <c r="Q959" t="s">
        <v>5732</v>
      </c>
      <c r="R959" t="s">
        <v>5752</v>
      </c>
      <c r="T959" t="s">
        <v>4276</v>
      </c>
      <c r="V959" t="s">
        <v>5767</v>
      </c>
      <c r="W959" t="s">
        <v>5772</v>
      </c>
      <c r="Y959">
        <v>1377</v>
      </c>
      <c r="Z959" t="s">
        <v>5803</v>
      </c>
      <c r="AA959" t="s">
        <v>5804</v>
      </c>
      <c r="AC959" t="s">
        <v>6710</v>
      </c>
      <c r="AE959" t="s">
        <v>8691</v>
      </c>
      <c r="AF959">
        <v>200</v>
      </c>
      <c r="AG959" t="s">
        <v>9272</v>
      </c>
      <c r="AH959" t="s">
        <v>4280</v>
      </c>
      <c r="AI959">
        <v>9</v>
      </c>
      <c r="AJ959">
        <v>3</v>
      </c>
      <c r="AK959">
        <v>0</v>
      </c>
      <c r="AL959">
        <v>326.58</v>
      </c>
      <c r="AO959" t="s">
        <v>1425</v>
      </c>
      <c r="AP959">
        <v>69660</v>
      </c>
      <c r="AV959">
        <v>1.3</v>
      </c>
      <c r="AW959" t="s">
        <v>71</v>
      </c>
    </row>
    <row r="960" spans="1:49">
      <c r="A960" s="1">
        <f>HYPERLINK("https://cms.ls-nyc.org/matter/dynamic-profile/view/1885725","18-1885725")</f>
        <v>0</v>
      </c>
      <c r="B960" t="s">
        <v>72</v>
      </c>
      <c r="C960" t="s">
        <v>83</v>
      </c>
      <c r="D960" t="s">
        <v>265</v>
      </c>
      <c r="F960" t="s">
        <v>1031</v>
      </c>
      <c r="G960" t="s">
        <v>1453</v>
      </c>
      <c r="H960" t="s">
        <v>3316</v>
      </c>
      <c r="I960" t="s">
        <v>4113</v>
      </c>
      <c r="J960" t="s">
        <v>4259</v>
      </c>
      <c r="K960">
        <v>11693</v>
      </c>
      <c r="L960" t="s">
        <v>4275</v>
      </c>
      <c r="M960" t="s">
        <v>4275</v>
      </c>
      <c r="O960" t="s">
        <v>4282</v>
      </c>
      <c r="P960" t="s">
        <v>5128</v>
      </c>
      <c r="Q960" t="s">
        <v>5732</v>
      </c>
      <c r="R960" t="s">
        <v>5753</v>
      </c>
      <c r="T960" t="s">
        <v>4276</v>
      </c>
      <c r="V960" t="s">
        <v>5767</v>
      </c>
      <c r="W960" t="s">
        <v>5775</v>
      </c>
      <c r="X960" t="s">
        <v>265</v>
      </c>
      <c r="Y960">
        <v>2050</v>
      </c>
      <c r="Z960" t="s">
        <v>5803</v>
      </c>
      <c r="AA960" t="s">
        <v>5804</v>
      </c>
      <c r="AC960" t="s">
        <v>6711</v>
      </c>
      <c r="AD960" t="s">
        <v>7633</v>
      </c>
      <c r="AE960" t="s">
        <v>8692</v>
      </c>
      <c r="AF960">
        <v>3</v>
      </c>
      <c r="AG960" t="s">
        <v>9269</v>
      </c>
      <c r="AH960" t="s">
        <v>9283</v>
      </c>
      <c r="AI960">
        <v>4</v>
      </c>
      <c r="AJ960">
        <v>1</v>
      </c>
      <c r="AK960">
        <v>2</v>
      </c>
      <c r="AL960">
        <v>0</v>
      </c>
      <c r="AO960" t="s">
        <v>1425</v>
      </c>
      <c r="AP960">
        <v>0</v>
      </c>
      <c r="AV960">
        <v>1</v>
      </c>
      <c r="AW960" t="s">
        <v>73</v>
      </c>
    </row>
    <row r="961" spans="1:49">
      <c r="A961" s="1">
        <f>HYPERLINK("https://cms.ls-nyc.org/matter/dynamic-profile/view/1892099","19-1892099")</f>
        <v>0</v>
      </c>
      <c r="B961" t="s">
        <v>72</v>
      </c>
      <c r="C961" t="s">
        <v>83</v>
      </c>
      <c r="D961" t="s">
        <v>89</v>
      </c>
      <c r="F961" t="s">
        <v>479</v>
      </c>
      <c r="G961" t="s">
        <v>1876</v>
      </c>
      <c r="H961" t="s">
        <v>3317</v>
      </c>
      <c r="I961" t="s">
        <v>3867</v>
      </c>
      <c r="J961" t="s">
        <v>4222</v>
      </c>
      <c r="K961">
        <v>11434</v>
      </c>
      <c r="L961" t="s">
        <v>4275</v>
      </c>
      <c r="M961" t="s">
        <v>4275</v>
      </c>
      <c r="O961" t="s">
        <v>4281</v>
      </c>
      <c r="P961" t="s">
        <v>5129</v>
      </c>
      <c r="Q961" t="s">
        <v>5732</v>
      </c>
      <c r="R961" t="s">
        <v>5751</v>
      </c>
      <c r="T961" t="s">
        <v>4276</v>
      </c>
      <c r="V961" t="s">
        <v>5767</v>
      </c>
      <c r="Y961">
        <v>1600</v>
      </c>
      <c r="Z961" t="s">
        <v>5803</v>
      </c>
      <c r="AA961" t="s">
        <v>5805</v>
      </c>
      <c r="AC961" t="s">
        <v>6712</v>
      </c>
      <c r="AE961" t="s">
        <v>8693</v>
      </c>
      <c r="AF961">
        <v>0</v>
      </c>
      <c r="AG961" t="s">
        <v>9270</v>
      </c>
      <c r="AH961" t="s">
        <v>4280</v>
      </c>
      <c r="AI961">
        <v>7</v>
      </c>
      <c r="AJ961">
        <v>2</v>
      </c>
      <c r="AK961">
        <v>0</v>
      </c>
      <c r="AL961">
        <v>0</v>
      </c>
      <c r="AO961" t="s">
        <v>1425</v>
      </c>
      <c r="AP961">
        <v>0</v>
      </c>
      <c r="AR961" t="s">
        <v>9329</v>
      </c>
      <c r="AS961" t="s">
        <v>9336</v>
      </c>
      <c r="AT961" t="s">
        <v>9369</v>
      </c>
      <c r="AU961" t="s">
        <v>9383</v>
      </c>
      <c r="AV961">
        <v>7.9</v>
      </c>
      <c r="AW961" t="s">
        <v>54</v>
      </c>
    </row>
    <row r="962" spans="1:49">
      <c r="A962" s="1">
        <f>HYPERLINK("https://cms.ls-nyc.org/matter/dynamic-profile/view/1881416","18-1881416")</f>
        <v>0</v>
      </c>
      <c r="B962" t="s">
        <v>72</v>
      </c>
      <c r="C962" t="s">
        <v>83</v>
      </c>
      <c r="D962" t="s">
        <v>150</v>
      </c>
      <c r="F962" t="s">
        <v>556</v>
      </c>
      <c r="G962" t="s">
        <v>2099</v>
      </c>
      <c r="H962" t="s">
        <v>3318</v>
      </c>
      <c r="I962" t="s">
        <v>4004</v>
      </c>
      <c r="J962" t="s">
        <v>4222</v>
      </c>
      <c r="K962">
        <v>11434</v>
      </c>
      <c r="L962" t="s">
        <v>4275</v>
      </c>
      <c r="M962" t="s">
        <v>4275</v>
      </c>
      <c r="O962" t="s">
        <v>4281</v>
      </c>
      <c r="P962" t="s">
        <v>5130</v>
      </c>
      <c r="Q962" t="s">
        <v>5731</v>
      </c>
      <c r="R962" t="s">
        <v>5751</v>
      </c>
      <c r="T962" t="s">
        <v>4276</v>
      </c>
      <c r="V962" t="s">
        <v>5767</v>
      </c>
      <c r="W962" t="s">
        <v>5773</v>
      </c>
      <c r="X962" t="s">
        <v>150</v>
      </c>
      <c r="Y962">
        <v>700</v>
      </c>
      <c r="Z962" t="s">
        <v>5803</v>
      </c>
      <c r="AA962" t="s">
        <v>5804</v>
      </c>
      <c r="AC962" t="s">
        <v>6713</v>
      </c>
      <c r="AE962" t="s">
        <v>8694</v>
      </c>
      <c r="AF962">
        <v>72</v>
      </c>
      <c r="AG962" t="s">
        <v>9273</v>
      </c>
      <c r="AH962" t="s">
        <v>4280</v>
      </c>
      <c r="AI962">
        <v>24</v>
      </c>
      <c r="AJ962">
        <v>1</v>
      </c>
      <c r="AK962">
        <v>0</v>
      </c>
      <c r="AL962">
        <v>0</v>
      </c>
      <c r="AO962" t="s">
        <v>1425</v>
      </c>
      <c r="AP962">
        <v>0</v>
      </c>
      <c r="AV962">
        <v>26.5</v>
      </c>
      <c r="AW962" t="s">
        <v>73</v>
      </c>
    </row>
    <row r="963" spans="1:49">
      <c r="A963" s="1">
        <f>HYPERLINK("https://cms.ls-nyc.org/matter/dynamic-profile/view/1890318","19-1890318")</f>
        <v>0</v>
      </c>
      <c r="B963" t="s">
        <v>72</v>
      </c>
      <c r="C963" t="s">
        <v>83</v>
      </c>
      <c r="D963" t="s">
        <v>127</v>
      </c>
      <c r="F963" t="s">
        <v>1032</v>
      </c>
      <c r="G963" t="s">
        <v>2100</v>
      </c>
      <c r="H963" t="s">
        <v>3319</v>
      </c>
      <c r="I963" t="s">
        <v>4114</v>
      </c>
      <c r="J963" t="s">
        <v>4231</v>
      </c>
      <c r="K963">
        <v>11419</v>
      </c>
      <c r="L963" t="s">
        <v>4275</v>
      </c>
      <c r="M963" t="s">
        <v>4275</v>
      </c>
      <c r="O963" t="s">
        <v>4282</v>
      </c>
      <c r="P963" t="s">
        <v>5131</v>
      </c>
      <c r="Q963" t="s">
        <v>5732</v>
      </c>
      <c r="R963" t="s">
        <v>5751</v>
      </c>
      <c r="T963" t="s">
        <v>4276</v>
      </c>
      <c r="V963" t="s">
        <v>5767</v>
      </c>
      <c r="W963" t="s">
        <v>5773</v>
      </c>
      <c r="X963" t="s">
        <v>127</v>
      </c>
      <c r="Y963">
        <v>1150</v>
      </c>
      <c r="Z963" t="s">
        <v>5803</v>
      </c>
      <c r="AA963" t="s">
        <v>5804</v>
      </c>
      <c r="AC963" t="s">
        <v>6714</v>
      </c>
      <c r="AD963" t="s">
        <v>7634</v>
      </c>
      <c r="AE963" t="s">
        <v>8695</v>
      </c>
      <c r="AF963">
        <v>2</v>
      </c>
      <c r="AG963" t="s">
        <v>9269</v>
      </c>
      <c r="AH963" t="s">
        <v>4280</v>
      </c>
      <c r="AI963">
        <v>12</v>
      </c>
      <c r="AJ963">
        <v>2</v>
      </c>
      <c r="AK963">
        <v>1</v>
      </c>
      <c r="AL963">
        <v>0</v>
      </c>
      <c r="AO963" t="s">
        <v>1425</v>
      </c>
      <c r="AP963">
        <v>0</v>
      </c>
      <c r="AR963" t="s">
        <v>9326</v>
      </c>
      <c r="AS963" t="s">
        <v>9366</v>
      </c>
      <c r="AT963" t="s">
        <v>9372</v>
      </c>
      <c r="AU963" t="s">
        <v>9398</v>
      </c>
      <c r="AV963">
        <v>37.2</v>
      </c>
      <c r="AW963" t="s">
        <v>73</v>
      </c>
    </row>
    <row r="964" spans="1:49">
      <c r="A964" s="1">
        <f>HYPERLINK("https://cms.ls-nyc.org/matter/dynamic-profile/view/1881442","18-1881442")</f>
        <v>0</v>
      </c>
      <c r="B964" t="s">
        <v>72</v>
      </c>
      <c r="C964" t="s">
        <v>83</v>
      </c>
      <c r="D964" t="s">
        <v>150</v>
      </c>
      <c r="F964" t="s">
        <v>387</v>
      </c>
      <c r="G964" t="s">
        <v>2101</v>
      </c>
      <c r="H964" t="s">
        <v>3320</v>
      </c>
      <c r="I964" t="s">
        <v>3856</v>
      </c>
      <c r="J964" t="s">
        <v>4225</v>
      </c>
      <c r="K964">
        <v>11385</v>
      </c>
      <c r="L964" t="s">
        <v>4275</v>
      </c>
      <c r="M964" t="s">
        <v>4275</v>
      </c>
      <c r="O964" t="s">
        <v>4281</v>
      </c>
      <c r="P964" t="s">
        <v>5132</v>
      </c>
      <c r="Q964" t="s">
        <v>5732</v>
      </c>
      <c r="R964" t="s">
        <v>5752</v>
      </c>
      <c r="T964" t="s">
        <v>4276</v>
      </c>
      <c r="V964" t="s">
        <v>5767</v>
      </c>
      <c r="Y964">
        <v>2250</v>
      </c>
      <c r="Z964" t="s">
        <v>5803</v>
      </c>
      <c r="AA964" t="s">
        <v>5804</v>
      </c>
      <c r="AC964" t="s">
        <v>6715</v>
      </c>
      <c r="AD964" t="s">
        <v>7635</v>
      </c>
      <c r="AE964" t="s">
        <v>8696</v>
      </c>
      <c r="AF964">
        <v>0</v>
      </c>
      <c r="AG964" t="s">
        <v>9270</v>
      </c>
      <c r="AI964">
        <v>1</v>
      </c>
      <c r="AJ964">
        <v>1</v>
      </c>
      <c r="AK964">
        <v>0</v>
      </c>
      <c r="AL964">
        <v>0</v>
      </c>
      <c r="AO964" t="s">
        <v>1425</v>
      </c>
      <c r="AP964">
        <v>0</v>
      </c>
      <c r="AR964" t="s">
        <v>9329</v>
      </c>
      <c r="AS964" t="s">
        <v>5806</v>
      </c>
      <c r="AT964" t="s">
        <v>9370</v>
      </c>
      <c r="AU964" t="s">
        <v>9384</v>
      </c>
      <c r="AV964">
        <v>5.9</v>
      </c>
      <c r="AW964" t="s">
        <v>54</v>
      </c>
    </row>
    <row r="965" spans="1:49">
      <c r="A965" s="1">
        <f>HYPERLINK("https://cms.ls-nyc.org/matter/dynamic-profile/view/1895761","19-1895761")</f>
        <v>0</v>
      </c>
      <c r="B965" t="s">
        <v>72</v>
      </c>
      <c r="C965" t="s">
        <v>83</v>
      </c>
      <c r="D965" t="s">
        <v>94</v>
      </c>
      <c r="F965" t="s">
        <v>375</v>
      </c>
      <c r="G965" t="s">
        <v>2102</v>
      </c>
      <c r="H965" t="s">
        <v>3321</v>
      </c>
      <c r="I965" t="s">
        <v>3997</v>
      </c>
      <c r="J965" t="s">
        <v>4258</v>
      </c>
      <c r="K965">
        <v>11370</v>
      </c>
      <c r="L965" t="s">
        <v>4275</v>
      </c>
      <c r="M965" t="s">
        <v>4275</v>
      </c>
      <c r="O965" t="s">
        <v>4282</v>
      </c>
      <c r="P965" t="s">
        <v>5133</v>
      </c>
      <c r="Q965" t="s">
        <v>5732</v>
      </c>
      <c r="R965" t="s">
        <v>5753</v>
      </c>
      <c r="T965" t="s">
        <v>4276</v>
      </c>
      <c r="V965" t="s">
        <v>5767</v>
      </c>
      <c r="W965" t="s">
        <v>5774</v>
      </c>
      <c r="X965" t="s">
        <v>94</v>
      </c>
      <c r="Y965">
        <v>1175</v>
      </c>
      <c r="Z965" t="s">
        <v>5803</v>
      </c>
      <c r="AA965" t="s">
        <v>5804</v>
      </c>
      <c r="AC965" t="s">
        <v>6716</v>
      </c>
      <c r="AE965" t="s">
        <v>8697</v>
      </c>
      <c r="AF965">
        <v>18</v>
      </c>
      <c r="AG965" t="s">
        <v>9275</v>
      </c>
      <c r="AH965" t="s">
        <v>4280</v>
      </c>
      <c r="AI965">
        <v>7</v>
      </c>
      <c r="AJ965">
        <v>1</v>
      </c>
      <c r="AK965">
        <v>0</v>
      </c>
      <c r="AL965">
        <v>0</v>
      </c>
      <c r="AO965" t="s">
        <v>1425</v>
      </c>
      <c r="AP965">
        <v>0</v>
      </c>
      <c r="AV965">
        <v>1.3</v>
      </c>
      <c r="AW965" t="s">
        <v>54</v>
      </c>
    </row>
    <row r="966" spans="1:49">
      <c r="A966" s="1">
        <f>HYPERLINK("https://cms.ls-nyc.org/matter/dynamic-profile/view/1880772","18-1880772")</f>
        <v>0</v>
      </c>
      <c r="B966" t="s">
        <v>72</v>
      </c>
      <c r="C966" t="s">
        <v>83</v>
      </c>
      <c r="D966" t="s">
        <v>84</v>
      </c>
      <c r="F966" t="s">
        <v>577</v>
      </c>
      <c r="G966" t="s">
        <v>1828</v>
      </c>
      <c r="H966" t="s">
        <v>3322</v>
      </c>
      <c r="I966" t="s">
        <v>3909</v>
      </c>
      <c r="J966" t="s">
        <v>4241</v>
      </c>
      <c r="K966">
        <v>11368</v>
      </c>
      <c r="L966" t="s">
        <v>4275</v>
      </c>
      <c r="M966" t="s">
        <v>4275</v>
      </c>
      <c r="O966" t="s">
        <v>4282</v>
      </c>
      <c r="P966" t="s">
        <v>5134</v>
      </c>
      <c r="Q966" t="s">
        <v>5732</v>
      </c>
      <c r="R966" t="s">
        <v>5753</v>
      </c>
      <c r="T966" t="s">
        <v>4276</v>
      </c>
      <c r="V966" t="s">
        <v>5767</v>
      </c>
      <c r="W966" t="s">
        <v>5772</v>
      </c>
      <c r="X966" t="s">
        <v>84</v>
      </c>
      <c r="Y966">
        <v>1100</v>
      </c>
      <c r="Z966" t="s">
        <v>5803</v>
      </c>
      <c r="AA966" t="s">
        <v>5804</v>
      </c>
      <c r="AC966" t="s">
        <v>6717</v>
      </c>
      <c r="AE966" t="s">
        <v>8698</v>
      </c>
      <c r="AF966">
        <v>3</v>
      </c>
      <c r="AG966" t="s">
        <v>9269</v>
      </c>
      <c r="AH966" t="s">
        <v>4280</v>
      </c>
      <c r="AI966">
        <v>5</v>
      </c>
      <c r="AJ966">
        <v>1</v>
      </c>
      <c r="AK966">
        <v>0</v>
      </c>
      <c r="AL966">
        <v>0</v>
      </c>
      <c r="AO966" t="s">
        <v>1425</v>
      </c>
      <c r="AP966">
        <v>0</v>
      </c>
      <c r="AV966">
        <v>1.6</v>
      </c>
      <c r="AW966" t="s">
        <v>73</v>
      </c>
    </row>
    <row r="967" spans="1:49">
      <c r="A967" s="1">
        <f>HYPERLINK("https://cms.ls-nyc.org/matter/dynamic-profile/view/1872715","18-1872715")</f>
        <v>0</v>
      </c>
      <c r="B967" t="s">
        <v>72</v>
      </c>
      <c r="C967" t="s">
        <v>83</v>
      </c>
      <c r="D967" t="s">
        <v>143</v>
      </c>
      <c r="F967" t="s">
        <v>439</v>
      </c>
      <c r="G967" t="s">
        <v>977</v>
      </c>
      <c r="H967" t="s">
        <v>3323</v>
      </c>
      <c r="I967" t="s">
        <v>4115</v>
      </c>
      <c r="J967" t="s">
        <v>4234</v>
      </c>
      <c r="K967">
        <v>11106</v>
      </c>
      <c r="L967" t="s">
        <v>4277</v>
      </c>
      <c r="M967" t="s">
        <v>4277</v>
      </c>
      <c r="O967" t="s">
        <v>4282</v>
      </c>
      <c r="P967" t="s">
        <v>5135</v>
      </c>
      <c r="Q967" t="s">
        <v>5732</v>
      </c>
      <c r="R967" t="s">
        <v>5751</v>
      </c>
      <c r="V967" t="s">
        <v>5767</v>
      </c>
      <c r="Y967">
        <v>891</v>
      </c>
      <c r="Z967" t="s">
        <v>5803</v>
      </c>
      <c r="AC967" t="s">
        <v>6718</v>
      </c>
      <c r="AE967" t="s">
        <v>8699</v>
      </c>
      <c r="AF967">
        <v>62</v>
      </c>
      <c r="AG967" t="s">
        <v>9272</v>
      </c>
      <c r="AH967" t="s">
        <v>4280</v>
      </c>
      <c r="AI967">
        <v>891</v>
      </c>
      <c r="AJ967">
        <v>4</v>
      </c>
      <c r="AK967">
        <v>0</v>
      </c>
      <c r="AL967">
        <v>0</v>
      </c>
      <c r="AP967">
        <v>0</v>
      </c>
      <c r="AR967" t="s">
        <v>9329</v>
      </c>
      <c r="AS967" t="s">
        <v>9336</v>
      </c>
      <c r="AT967" t="s">
        <v>9369</v>
      </c>
      <c r="AU967" t="s">
        <v>9521</v>
      </c>
      <c r="AV967">
        <v>11.4</v>
      </c>
      <c r="AW967" t="s">
        <v>74</v>
      </c>
    </row>
    <row r="968" spans="1:49">
      <c r="A968" s="1">
        <f>HYPERLINK("https://cms.ls-nyc.org/matter/dynamic-profile/view/1871621","18-1871621")</f>
        <v>0</v>
      </c>
      <c r="B968" t="s">
        <v>72</v>
      </c>
      <c r="C968" t="s">
        <v>83</v>
      </c>
      <c r="D968" t="s">
        <v>254</v>
      </c>
      <c r="F968" t="s">
        <v>563</v>
      </c>
      <c r="G968" t="s">
        <v>1761</v>
      </c>
      <c r="H968" t="s">
        <v>3324</v>
      </c>
      <c r="J968" t="s">
        <v>4222</v>
      </c>
      <c r="K968">
        <v>11433</v>
      </c>
      <c r="L968" t="s">
        <v>4275</v>
      </c>
      <c r="M968" t="s">
        <v>4277</v>
      </c>
      <c r="O968" t="s">
        <v>4281</v>
      </c>
      <c r="P968" t="s">
        <v>5136</v>
      </c>
      <c r="Q968" t="s">
        <v>5732</v>
      </c>
      <c r="R968" t="s">
        <v>5751</v>
      </c>
      <c r="T968" t="s">
        <v>4276</v>
      </c>
      <c r="V968" t="s">
        <v>5767</v>
      </c>
      <c r="X968" t="s">
        <v>5795</v>
      </c>
      <c r="Y968">
        <v>1708.06</v>
      </c>
      <c r="Z968" t="s">
        <v>5803</v>
      </c>
      <c r="AA968" t="s">
        <v>5804</v>
      </c>
      <c r="AC968" t="s">
        <v>6719</v>
      </c>
      <c r="AE968" t="s">
        <v>8700</v>
      </c>
      <c r="AF968">
        <v>1</v>
      </c>
      <c r="AG968" t="s">
        <v>9269</v>
      </c>
      <c r="AH968" t="s">
        <v>9282</v>
      </c>
      <c r="AI968">
        <v>0</v>
      </c>
      <c r="AJ968">
        <v>2</v>
      </c>
      <c r="AK968">
        <v>0</v>
      </c>
      <c r="AL968">
        <v>10.94</v>
      </c>
      <c r="AO968" t="s">
        <v>1425</v>
      </c>
      <c r="AP968">
        <v>1800</v>
      </c>
      <c r="AR968" t="s">
        <v>9329</v>
      </c>
      <c r="AS968" t="s">
        <v>5806</v>
      </c>
      <c r="AT968" t="s">
        <v>9370</v>
      </c>
      <c r="AU968" t="s">
        <v>9522</v>
      </c>
      <c r="AV968">
        <v>34.55</v>
      </c>
      <c r="AW968" t="s">
        <v>72</v>
      </c>
    </row>
    <row r="969" spans="1:49">
      <c r="A969" s="1">
        <f>HYPERLINK("https://cms.ls-nyc.org/matter/dynamic-profile/view/1900995","19-1900995")</f>
        <v>0</v>
      </c>
      <c r="B969" t="s">
        <v>72</v>
      </c>
      <c r="C969" t="s">
        <v>83</v>
      </c>
      <c r="D969" t="s">
        <v>217</v>
      </c>
      <c r="F969" t="s">
        <v>1033</v>
      </c>
      <c r="G969" t="s">
        <v>2103</v>
      </c>
      <c r="H969" t="s">
        <v>3325</v>
      </c>
      <c r="I969" t="s">
        <v>3866</v>
      </c>
      <c r="J969" t="s">
        <v>4258</v>
      </c>
      <c r="K969">
        <v>11370</v>
      </c>
      <c r="L969" t="s">
        <v>4275</v>
      </c>
      <c r="M969" t="s">
        <v>4277</v>
      </c>
      <c r="N969" t="s">
        <v>4278</v>
      </c>
      <c r="O969" t="s">
        <v>4282</v>
      </c>
      <c r="P969" t="s">
        <v>5137</v>
      </c>
      <c r="Q969" t="s">
        <v>5732</v>
      </c>
      <c r="R969" t="s">
        <v>5752</v>
      </c>
      <c r="T969" t="s">
        <v>4276</v>
      </c>
      <c r="V969" t="s">
        <v>5767</v>
      </c>
      <c r="W969" t="s">
        <v>5772</v>
      </c>
      <c r="X969" t="s">
        <v>217</v>
      </c>
      <c r="Y969">
        <v>1500</v>
      </c>
      <c r="Z969" t="s">
        <v>5803</v>
      </c>
      <c r="AA969" t="s">
        <v>5804</v>
      </c>
      <c r="AC969" t="s">
        <v>6720</v>
      </c>
      <c r="AD969" t="s">
        <v>7636</v>
      </c>
      <c r="AE969" t="s">
        <v>8701</v>
      </c>
      <c r="AF969">
        <v>3</v>
      </c>
      <c r="AG969" t="s">
        <v>9270</v>
      </c>
      <c r="AH969" t="s">
        <v>4280</v>
      </c>
      <c r="AI969">
        <v>-1</v>
      </c>
      <c r="AJ969">
        <v>1</v>
      </c>
      <c r="AK969">
        <v>3</v>
      </c>
      <c r="AL969">
        <v>13.98</v>
      </c>
      <c r="AO969" t="s">
        <v>9320</v>
      </c>
      <c r="AP969">
        <v>3600</v>
      </c>
      <c r="AV969">
        <v>1.5</v>
      </c>
      <c r="AW969" t="s">
        <v>54</v>
      </c>
    </row>
    <row r="970" spans="1:49">
      <c r="A970" s="1">
        <f>HYPERLINK("https://cms.ls-nyc.org/matter/dynamic-profile/view/1873749","18-1873749")</f>
        <v>0</v>
      </c>
      <c r="B970" t="s">
        <v>72</v>
      </c>
      <c r="C970" t="s">
        <v>83</v>
      </c>
      <c r="D970" t="s">
        <v>112</v>
      </c>
      <c r="F970" t="s">
        <v>1034</v>
      </c>
      <c r="G970" t="s">
        <v>2104</v>
      </c>
      <c r="H970" t="s">
        <v>3136</v>
      </c>
      <c r="I970" t="s">
        <v>3861</v>
      </c>
      <c r="J970" t="s">
        <v>4243</v>
      </c>
      <c r="K970">
        <v>11691</v>
      </c>
      <c r="L970" t="s">
        <v>4275</v>
      </c>
      <c r="M970" t="s">
        <v>4275</v>
      </c>
      <c r="O970" t="s">
        <v>4283</v>
      </c>
      <c r="P970" t="s">
        <v>5138</v>
      </c>
      <c r="Q970" t="s">
        <v>5731</v>
      </c>
      <c r="R970" t="s">
        <v>5751</v>
      </c>
      <c r="T970" t="s">
        <v>4276</v>
      </c>
      <c r="V970" t="s">
        <v>5767</v>
      </c>
      <c r="W970" t="s">
        <v>5771</v>
      </c>
      <c r="X970" t="s">
        <v>5789</v>
      </c>
      <c r="Y970">
        <v>1956</v>
      </c>
      <c r="Z970" t="s">
        <v>5803</v>
      </c>
      <c r="AA970" t="s">
        <v>5804</v>
      </c>
      <c r="AC970" t="s">
        <v>6721</v>
      </c>
      <c r="AE970" t="s">
        <v>8702</v>
      </c>
      <c r="AF970">
        <v>26</v>
      </c>
      <c r="AG970" t="s">
        <v>9272</v>
      </c>
      <c r="AH970" t="s">
        <v>9284</v>
      </c>
      <c r="AI970">
        <v>3</v>
      </c>
      <c r="AJ970">
        <v>1</v>
      </c>
      <c r="AK970">
        <v>2</v>
      </c>
      <c r="AL970">
        <v>14.51</v>
      </c>
      <c r="AN970" t="s">
        <v>9294</v>
      </c>
      <c r="AO970" t="s">
        <v>1425</v>
      </c>
      <c r="AP970">
        <v>3016</v>
      </c>
      <c r="AR970" t="s">
        <v>9329</v>
      </c>
      <c r="AS970" t="s">
        <v>9336</v>
      </c>
      <c r="AT970" t="s">
        <v>9369</v>
      </c>
      <c r="AU970" t="s">
        <v>9492</v>
      </c>
      <c r="AV970">
        <v>19.7</v>
      </c>
      <c r="AW970" t="s">
        <v>54</v>
      </c>
    </row>
    <row r="971" spans="1:49">
      <c r="A971" s="1">
        <f>HYPERLINK("https://cms.ls-nyc.org/matter/dynamic-profile/view/1893029","19-1893029")</f>
        <v>0</v>
      </c>
      <c r="B971" t="s">
        <v>72</v>
      </c>
      <c r="C971" t="s">
        <v>83</v>
      </c>
      <c r="D971" t="s">
        <v>114</v>
      </c>
      <c r="F971" t="s">
        <v>1035</v>
      </c>
      <c r="G971" t="s">
        <v>2105</v>
      </c>
      <c r="H971" t="s">
        <v>3326</v>
      </c>
      <c r="I971">
        <v>2</v>
      </c>
      <c r="J971" t="s">
        <v>4223</v>
      </c>
      <c r="K971">
        <v>11423</v>
      </c>
      <c r="L971" t="s">
        <v>4275</v>
      </c>
      <c r="M971" t="s">
        <v>4275</v>
      </c>
      <c r="O971" t="s">
        <v>4282</v>
      </c>
      <c r="P971" t="s">
        <v>5139</v>
      </c>
      <c r="Q971" t="s">
        <v>5731</v>
      </c>
      <c r="R971" t="s">
        <v>5753</v>
      </c>
      <c r="T971" t="s">
        <v>4276</v>
      </c>
      <c r="V971" t="s">
        <v>5767</v>
      </c>
      <c r="W971" t="s">
        <v>5772</v>
      </c>
      <c r="X971" t="s">
        <v>114</v>
      </c>
      <c r="Y971">
        <v>1956</v>
      </c>
      <c r="Z971" t="s">
        <v>5803</v>
      </c>
      <c r="AA971" t="s">
        <v>5804</v>
      </c>
      <c r="AC971" t="s">
        <v>6722</v>
      </c>
      <c r="AD971" t="s">
        <v>7637</v>
      </c>
      <c r="AE971" t="s">
        <v>8703</v>
      </c>
      <c r="AF971">
        <v>2</v>
      </c>
      <c r="AG971" t="s">
        <v>9270</v>
      </c>
      <c r="AH971" t="s">
        <v>9283</v>
      </c>
      <c r="AI971">
        <v>1</v>
      </c>
      <c r="AJ971">
        <v>2</v>
      </c>
      <c r="AK971">
        <v>4</v>
      </c>
      <c r="AL971">
        <v>16.1</v>
      </c>
      <c r="AO971" t="s">
        <v>1425</v>
      </c>
      <c r="AP971">
        <v>5568</v>
      </c>
      <c r="AV971">
        <v>1.3</v>
      </c>
      <c r="AW971" t="s">
        <v>54</v>
      </c>
    </row>
    <row r="972" spans="1:49">
      <c r="A972" s="1">
        <f>HYPERLINK("https://cms.ls-nyc.org/matter/dynamic-profile/view/1892985","19-1892985")</f>
        <v>0</v>
      </c>
      <c r="B972" t="s">
        <v>72</v>
      </c>
      <c r="C972" t="s">
        <v>83</v>
      </c>
      <c r="D972" t="s">
        <v>114</v>
      </c>
      <c r="F972" t="s">
        <v>1036</v>
      </c>
      <c r="G972" t="s">
        <v>1392</v>
      </c>
      <c r="H972" t="s">
        <v>3327</v>
      </c>
      <c r="I972" t="s">
        <v>3927</v>
      </c>
      <c r="J972" t="s">
        <v>4236</v>
      </c>
      <c r="K972">
        <v>11417</v>
      </c>
      <c r="L972" t="s">
        <v>4275</v>
      </c>
      <c r="M972" t="s">
        <v>4275</v>
      </c>
      <c r="O972" t="s">
        <v>4282</v>
      </c>
      <c r="P972" t="s">
        <v>5140</v>
      </c>
      <c r="Q972" t="s">
        <v>5732</v>
      </c>
      <c r="R972" t="s">
        <v>5753</v>
      </c>
      <c r="T972" t="s">
        <v>4276</v>
      </c>
      <c r="V972" t="s">
        <v>5767</v>
      </c>
      <c r="W972" t="s">
        <v>5772</v>
      </c>
      <c r="X972" t="s">
        <v>114</v>
      </c>
      <c r="Y972">
        <v>1550</v>
      </c>
      <c r="Z972" t="s">
        <v>5803</v>
      </c>
      <c r="AA972" t="s">
        <v>5804</v>
      </c>
      <c r="AC972" t="s">
        <v>6723</v>
      </c>
      <c r="AD972" t="s">
        <v>7638</v>
      </c>
      <c r="AE972" t="s">
        <v>8704</v>
      </c>
      <c r="AF972">
        <v>2</v>
      </c>
      <c r="AG972" t="s">
        <v>9269</v>
      </c>
      <c r="AH972" t="s">
        <v>4280</v>
      </c>
      <c r="AI972">
        <v>3</v>
      </c>
      <c r="AJ972">
        <v>1</v>
      </c>
      <c r="AK972">
        <v>3</v>
      </c>
      <c r="AL972">
        <v>18.54</v>
      </c>
      <c r="AO972" t="s">
        <v>1425</v>
      </c>
      <c r="AP972">
        <v>4772.82</v>
      </c>
      <c r="AV972">
        <v>1.3</v>
      </c>
      <c r="AW972" t="s">
        <v>54</v>
      </c>
    </row>
    <row r="973" spans="1:49">
      <c r="A973" s="1">
        <f>HYPERLINK("https://cms.ls-nyc.org/matter/dynamic-profile/view/1891220","19-1891220")</f>
        <v>0</v>
      </c>
      <c r="B973" t="s">
        <v>72</v>
      </c>
      <c r="C973" t="s">
        <v>83</v>
      </c>
      <c r="D973" t="s">
        <v>167</v>
      </c>
      <c r="F973" t="s">
        <v>326</v>
      </c>
      <c r="G973" t="s">
        <v>1873</v>
      </c>
      <c r="H973" t="s">
        <v>3328</v>
      </c>
      <c r="I973" t="s">
        <v>3902</v>
      </c>
      <c r="J973" t="s">
        <v>4225</v>
      </c>
      <c r="K973">
        <v>11385</v>
      </c>
      <c r="L973" t="s">
        <v>4275</v>
      </c>
      <c r="M973" t="s">
        <v>4275</v>
      </c>
      <c r="O973" t="s">
        <v>4281</v>
      </c>
      <c r="P973" t="s">
        <v>5141</v>
      </c>
      <c r="Q973" t="s">
        <v>5731</v>
      </c>
      <c r="R973" t="s">
        <v>5751</v>
      </c>
      <c r="T973" t="s">
        <v>4276</v>
      </c>
      <c r="V973" t="s">
        <v>5767</v>
      </c>
      <c r="W973" t="s">
        <v>5772</v>
      </c>
      <c r="X973" t="s">
        <v>167</v>
      </c>
      <c r="Y973">
        <v>1310.62</v>
      </c>
      <c r="Z973" t="s">
        <v>5803</v>
      </c>
      <c r="AA973" t="s">
        <v>5804</v>
      </c>
      <c r="AC973" t="s">
        <v>6724</v>
      </c>
      <c r="AD973" t="s">
        <v>7639</v>
      </c>
      <c r="AE973" t="s">
        <v>8705</v>
      </c>
      <c r="AF973">
        <v>6</v>
      </c>
      <c r="AG973" t="s">
        <v>9272</v>
      </c>
      <c r="AH973" t="s">
        <v>9283</v>
      </c>
      <c r="AI973">
        <v>10</v>
      </c>
      <c r="AJ973">
        <v>4</v>
      </c>
      <c r="AK973">
        <v>2</v>
      </c>
      <c r="AL973">
        <v>26.75</v>
      </c>
      <c r="AO973" t="s">
        <v>9306</v>
      </c>
      <c r="AP973">
        <v>9252</v>
      </c>
      <c r="AV973">
        <v>6.9</v>
      </c>
      <c r="AW973" t="s">
        <v>59</v>
      </c>
    </row>
    <row r="974" spans="1:49">
      <c r="A974" s="1">
        <f>HYPERLINK("https://cms.ls-nyc.org/matter/dynamic-profile/view/1872707","18-1872707")</f>
        <v>0</v>
      </c>
      <c r="B974" t="s">
        <v>72</v>
      </c>
      <c r="C974" t="s">
        <v>83</v>
      </c>
      <c r="D974" t="s">
        <v>143</v>
      </c>
      <c r="F974" t="s">
        <v>675</v>
      </c>
      <c r="G974" t="s">
        <v>495</v>
      </c>
      <c r="H974" t="s">
        <v>3329</v>
      </c>
      <c r="I974" t="s">
        <v>3950</v>
      </c>
      <c r="J974" t="s">
        <v>4222</v>
      </c>
      <c r="K974">
        <v>11433</v>
      </c>
      <c r="L974" t="s">
        <v>4275</v>
      </c>
      <c r="M974" t="s">
        <v>4275</v>
      </c>
      <c r="O974" t="s">
        <v>4281</v>
      </c>
      <c r="P974" t="s">
        <v>5142</v>
      </c>
      <c r="Q974" t="s">
        <v>5732</v>
      </c>
      <c r="R974" t="s">
        <v>5751</v>
      </c>
      <c r="T974" t="s">
        <v>4276</v>
      </c>
      <c r="V974" t="s">
        <v>5767</v>
      </c>
      <c r="W974" t="s">
        <v>5772</v>
      </c>
      <c r="X974" t="s">
        <v>143</v>
      </c>
      <c r="Y974">
        <v>535</v>
      </c>
      <c r="Z974" t="s">
        <v>5803</v>
      </c>
      <c r="AA974" t="s">
        <v>5809</v>
      </c>
      <c r="AC974" t="s">
        <v>6725</v>
      </c>
      <c r="AE974" t="s">
        <v>8706</v>
      </c>
      <c r="AF974">
        <v>4</v>
      </c>
      <c r="AG974" t="s">
        <v>9269</v>
      </c>
      <c r="AH974" t="s">
        <v>4280</v>
      </c>
      <c r="AI974">
        <v>3</v>
      </c>
      <c r="AJ974">
        <v>1</v>
      </c>
      <c r="AK974">
        <v>1</v>
      </c>
      <c r="AL974">
        <v>29.16</v>
      </c>
      <c r="AN974" t="s">
        <v>9297</v>
      </c>
      <c r="AO974" t="s">
        <v>1425</v>
      </c>
      <c r="AP974">
        <v>4800</v>
      </c>
      <c r="AV974">
        <v>24.5</v>
      </c>
      <c r="AW974" t="s">
        <v>76</v>
      </c>
    </row>
    <row r="975" spans="1:49">
      <c r="A975" s="1">
        <f>HYPERLINK("https://cms.ls-nyc.org/matter/dynamic-profile/view/1891506","19-1891506")</f>
        <v>0</v>
      </c>
      <c r="B975" t="s">
        <v>72</v>
      </c>
      <c r="C975" t="s">
        <v>83</v>
      </c>
      <c r="D975" t="s">
        <v>115</v>
      </c>
      <c r="F975" t="s">
        <v>1037</v>
      </c>
      <c r="G975" t="s">
        <v>2106</v>
      </c>
      <c r="H975" t="s">
        <v>3330</v>
      </c>
      <c r="I975" t="s">
        <v>3849</v>
      </c>
      <c r="J975" t="s">
        <v>4249</v>
      </c>
      <c r="K975">
        <v>11429</v>
      </c>
      <c r="L975" t="s">
        <v>4275</v>
      </c>
      <c r="M975" t="s">
        <v>4275</v>
      </c>
      <c r="O975" t="s">
        <v>4282</v>
      </c>
      <c r="P975" t="s">
        <v>5143</v>
      </c>
      <c r="Q975" t="s">
        <v>5732</v>
      </c>
      <c r="R975" t="s">
        <v>5751</v>
      </c>
      <c r="T975" t="s">
        <v>4276</v>
      </c>
      <c r="V975" t="s">
        <v>5767</v>
      </c>
      <c r="W975" t="s">
        <v>5772</v>
      </c>
      <c r="X975" t="s">
        <v>115</v>
      </c>
      <c r="Y975">
        <v>1100</v>
      </c>
      <c r="Z975" t="s">
        <v>5803</v>
      </c>
      <c r="AA975" t="s">
        <v>5804</v>
      </c>
      <c r="AC975" t="s">
        <v>6726</v>
      </c>
      <c r="AE975" t="s">
        <v>8707</v>
      </c>
      <c r="AF975">
        <v>2</v>
      </c>
      <c r="AG975" t="s">
        <v>9269</v>
      </c>
      <c r="AH975" t="s">
        <v>4280</v>
      </c>
      <c r="AI975">
        <v>6</v>
      </c>
      <c r="AJ975">
        <v>1</v>
      </c>
      <c r="AK975">
        <v>3</v>
      </c>
      <c r="AL975">
        <v>35.88</v>
      </c>
      <c r="AO975" t="s">
        <v>1425</v>
      </c>
      <c r="AP975">
        <v>9240</v>
      </c>
      <c r="AV975">
        <v>1</v>
      </c>
      <c r="AW975" t="s">
        <v>72</v>
      </c>
    </row>
    <row r="976" spans="1:49">
      <c r="A976" s="1">
        <f>HYPERLINK("https://cms.ls-nyc.org/matter/dynamic-profile/view/1901112","19-1901112")</f>
        <v>0</v>
      </c>
      <c r="B976" t="s">
        <v>72</v>
      </c>
      <c r="C976" t="s">
        <v>83</v>
      </c>
      <c r="D976" t="s">
        <v>90</v>
      </c>
      <c r="F976" t="s">
        <v>556</v>
      </c>
      <c r="G976" t="s">
        <v>417</v>
      </c>
      <c r="H976" t="s">
        <v>3331</v>
      </c>
      <c r="I976" t="s">
        <v>4042</v>
      </c>
      <c r="J976" t="s">
        <v>4223</v>
      </c>
      <c r="K976">
        <v>11423</v>
      </c>
      <c r="L976" t="s">
        <v>4275</v>
      </c>
      <c r="M976" t="s">
        <v>4277</v>
      </c>
      <c r="N976" t="s">
        <v>4278</v>
      </c>
      <c r="O976" t="s">
        <v>4282</v>
      </c>
      <c r="P976" t="s">
        <v>5144</v>
      </c>
      <c r="Q976" t="s">
        <v>5731</v>
      </c>
      <c r="R976" t="s">
        <v>5752</v>
      </c>
      <c r="T976" t="s">
        <v>4276</v>
      </c>
      <c r="V976" t="s">
        <v>5767</v>
      </c>
      <c r="X976" t="s">
        <v>90</v>
      </c>
      <c r="Y976">
        <v>1336</v>
      </c>
      <c r="Z976" t="s">
        <v>5803</v>
      </c>
      <c r="AA976" t="s">
        <v>5804</v>
      </c>
      <c r="AC976" t="s">
        <v>6727</v>
      </c>
      <c r="AD976" t="s">
        <v>7640</v>
      </c>
      <c r="AE976" t="s">
        <v>8708</v>
      </c>
      <c r="AF976">
        <v>25</v>
      </c>
      <c r="AG976" t="s">
        <v>9272</v>
      </c>
      <c r="AH976" t="s">
        <v>9285</v>
      </c>
      <c r="AI976">
        <v>4</v>
      </c>
      <c r="AJ976">
        <v>1</v>
      </c>
      <c r="AK976">
        <v>0</v>
      </c>
      <c r="AL976">
        <v>36.12</v>
      </c>
      <c r="AO976" t="s">
        <v>1425</v>
      </c>
      <c r="AP976">
        <v>4512</v>
      </c>
      <c r="AV976">
        <v>2.1</v>
      </c>
      <c r="AW976" t="s">
        <v>9549</v>
      </c>
    </row>
    <row r="977" spans="1:49">
      <c r="A977" s="1">
        <f>HYPERLINK("https://cms.ls-nyc.org/matter/dynamic-profile/view/1873741","18-1873741")</f>
        <v>0</v>
      </c>
      <c r="B977" t="s">
        <v>72</v>
      </c>
      <c r="C977" t="s">
        <v>82</v>
      </c>
      <c r="D977" t="s">
        <v>112</v>
      </c>
      <c r="E977" t="s">
        <v>228</v>
      </c>
      <c r="F977" t="s">
        <v>490</v>
      </c>
      <c r="G977" t="s">
        <v>1820</v>
      </c>
      <c r="H977" t="s">
        <v>3332</v>
      </c>
      <c r="I977" t="s">
        <v>3863</v>
      </c>
      <c r="J977" t="s">
        <v>4222</v>
      </c>
      <c r="K977">
        <v>11435</v>
      </c>
      <c r="L977" t="s">
        <v>4275</v>
      </c>
      <c r="M977" t="s">
        <v>4275</v>
      </c>
      <c r="O977" t="s">
        <v>4282</v>
      </c>
      <c r="P977" t="s">
        <v>5145</v>
      </c>
      <c r="Q977" t="s">
        <v>5731</v>
      </c>
      <c r="R977" t="s">
        <v>5753</v>
      </c>
      <c r="S977" t="s">
        <v>5759</v>
      </c>
      <c r="T977" t="s">
        <v>4276</v>
      </c>
      <c r="V977" t="s">
        <v>5767</v>
      </c>
      <c r="W977" t="s">
        <v>5774</v>
      </c>
      <c r="X977" t="s">
        <v>112</v>
      </c>
      <c r="Y977">
        <v>1288</v>
      </c>
      <c r="Z977" t="s">
        <v>5803</v>
      </c>
      <c r="AA977" t="s">
        <v>5804</v>
      </c>
      <c r="AB977" t="s">
        <v>5821</v>
      </c>
      <c r="AC977" t="s">
        <v>6728</v>
      </c>
      <c r="AD977" t="s">
        <v>7641</v>
      </c>
      <c r="AE977" t="s">
        <v>8709</v>
      </c>
      <c r="AF977">
        <v>8</v>
      </c>
      <c r="AG977" t="s">
        <v>9269</v>
      </c>
      <c r="AH977" t="s">
        <v>4280</v>
      </c>
      <c r="AI977">
        <v>7</v>
      </c>
      <c r="AJ977">
        <v>1</v>
      </c>
      <c r="AK977">
        <v>2</v>
      </c>
      <c r="AL977">
        <v>37.54</v>
      </c>
      <c r="AN977" t="s">
        <v>9294</v>
      </c>
      <c r="AO977" t="s">
        <v>1425</v>
      </c>
      <c r="AP977">
        <v>7800</v>
      </c>
      <c r="AV977">
        <v>1.8</v>
      </c>
      <c r="AW977" t="s">
        <v>54</v>
      </c>
    </row>
    <row r="978" spans="1:49">
      <c r="A978" s="1">
        <f>HYPERLINK("https://cms.ls-nyc.org/matter/dynamic-profile/view/1890323","19-1890323")</f>
        <v>0</v>
      </c>
      <c r="B978" t="s">
        <v>72</v>
      </c>
      <c r="C978" t="s">
        <v>83</v>
      </c>
      <c r="D978" t="s">
        <v>127</v>
      </c>
      <c r="F978" t="s">
        <v>1038</v>
      </c>
      <c r="G978" t="s">
        <v>2107</v>
      </c>
      <c r="H978" t="s">
        <v>3333</v>
      </c>
      <c r="J978" t="s">
        <v>4236</v>
      </c>
      <c r="K978">
        <v>11416</v>
      </c>
      <c r="L978" t="s">
        <v>4275</v>
      </c>
      <c r="M978" t="s">
        <v>4275</v>
      </c>
      <c r="O978" t="s">
        <v>4282</v>
      </c>
      <c r="P978" t="s">
        <v>5146</v>
      </c>
      <c r="Q978" t="s">
        <v>5732</v>
      </c>
      <c r="R978" t="s">
        <v>5753</v>
      </c>
      <c r="T978" t="s">
        <v>4276</v>
      </c>
      <c r="V978" t="s">
        <v>5767</v>
      </c>
      <c r="W978" t="s">
        <v>5772</v>
      </c>
      <c r="X978" t="s">
        <v>127</v>
      </c>
      <c r="Y978">
        <v>1515</v>
      </c>
      <c r="Z978" t="s">
        <v>5803</v>
      </c>
      <c r="AA978" t="s">
        <v>5804</v>
      </c>
      <c r="AC978" t="s">
        <v>6729</v>
      </c>
      <c r="AD978" t="s">
        <v>7642</v>
      </c>
      <c r="AE978" t="s">
        <v>8710</v>
      </c>
      <c r="AF978">
        <v>4</v>
      </c>
      <c r="AG978" t="s">
        <v>9269</v>
      </c>
      <c r="AH978" t="s">
        <v>9286</v>
      </c>
      <c r="AI978">
        <v>3</v>
      </c>
      <c r="AJ978">
        <v>2</v>
      </c>
      <c r="AK978">
        <v>1</v>
      </c>
      <c r="AL978">
        <v>37.86</v>
      </c>
      <c r="AO978" t="s">
        <v>1425</v>
      </c>
      <c r="AP978">
        <v>8076</v>
      </c>
      <c r="AV978">
        <v>2</v>
      </c>
      <c r="AW978" t="s">
        <v>73</v>
      </c>
    </row>
    <row r="979" spans="1:49">
      <c r="A979" s="1">
        <f>HYPERLINK("https://cms.ls-nyc.org/matter/dynamic-profile/view/1876167","18-1876167")</f>
        <v>0</v>
      </c>
      <c r="B979" t="s">
        <v>72</v>
      </c>
      <c r="C979" t="s">
        <v>83</v>
      </c>
      <c r="D979" t="s">
        <v>260</v>
      </c>
      <c r="F979" t="s">
        <v>1039</v>
      </c>
      <c r="G979" t="s">
        <v>2108</v>
      </c>
      <c r="H979" t="s">
        <v>3334</v>
      </c>
      <c r="I979" t="s">
        <v>3909</v>
      </c>
      <c r="J979" t="s">
        <v>4236</v>
      </c>
      <c r="K979">
        <v>11416</v>
      </c>
      <c r="L979" t="s">
        <v>4275</v>
      </c>
      <c r="M979" t="s">
        <v>4275</v>
      </c>
      <c r="O979" t="s">
        <v>4282</v>
      </c>
      <c r="P979" t="s">
        <v>5147</v>
      </c>
      <c r="Q979" t="s">
        <v>5732</v>
      </c>
      <c r="R979" t="s">
        <v>5753</v>
      </c>
      <c r="T979" t="s">
        <v>4276</v>
      </c>
      <c r="V979" t="s">
        <v>5767</v>
      </c>
      <c r="W979" t="s">
        <v>5774</v>
      </c>
      <c r="X979" t="s">
        <v>260</v>
      </c>
      <c r="Y979">
        <v>1200</v>
      </c>
      <c r="Z979" t="s">
        <v>5803</v>
      </c>
      <c r="AA979" t="s">
        <v>5804</v>
      </c>
      <c r="AC979" t="s">
        <v>6730</v>
      </c>
      <c r="AD979" t="s">
        <v>4280</v>
      </c>
      <c r="AE979" t="s">
        <v>8711</v>
      </c>
      <c r="AF979">
        <v>1</v>
      </c>
      <c r="AG979" t="s">
        <v>9269</v>
      </c>
      <c r="AH979" t="s">
        <v>4280</v>
      </c>
      <c r="AI979">
        <v>11</v>
      </c>
      <c r="AJ979">
        <v>1</v>
      </c>
      <c r="AK979">
        <v>0</v>
      </c>
      <c r="AL979">
        <v>38.25</v>
      </c>
      <c r="AO979" t="s">
        <v>9321</v>
      </c>
      <c r="AP979">
        <v>4644</v>
      </c>
      <c r="AV979">
        <v>1.75</v>
      </c>
      <c r="AW979" t="s">
        <v>73</v>
      </c>
    </row>
    <row r="980" spans="1:49">
      <c r="A980" s="1">
        <f>HYPERLINK("https://cms.ls-nyc.org/matter/dynamic-profile/view/1874595","18-1874595")</f>
        <v>0</v>
      </c>
      <c r="B980" t="s">
        <v>72</v>
      </c>
      <c r="C980" t="s">
        <v>83</v>
      </c>
      <c r="D980" t="s">
        <v>103</v>
      </c>
      <c r="F980" t="s">
        <v>710</v>
      </c>
      <c r="G980" t="s">
        <v>2109</v>
      </c>
      <c r="H980" t="s">
        <v>3335</v>
      </c>
      <c r="I980" t="s">
        <v>3950</v>
      </c>
      <c r="J980" t="s">
        <v>4231</v>
      </c>
      <c r="K980">
        <v>11419</v>
      </c>
      <c r="L980" t="s">
        <v>4275</v>
      </c>
      <c r="M980" t="s">
        <v>4277</v>
      </c>
      <c r="O980" t="s">
        <v>4282</v>
      </c>
      <c r="P980" t="s">
        <v>5148</v>
      </c>
      <c r="Q980" t="s">
        <v>5732</v>
      </c>
      <c r="R980" t="s">
        <v>5752</v>
      </c>
      <c r="T980" t="s">
        <v>4276</v>
      </c>
      <c r="V980" t="s">
        <v>5767</v>
      </c>
      <c r="W980" t="s">
        <v>5772</v>
      </c>
      <c r="Y980">
        <v>1975</v>
      </c>
      <c r="Z980" t="s">
        <v>5803</v>
      </c>
      <c r="AA980" t="s">
        <v>5804</v>
      </c>
      <c r="AC980" t="s">
        <v>6731</v>
      </c>
      <c r="AE980" t="s">
        <v>8712</v>
      </c>
      <c r="AF980">
        <v>4</v>
      </c>
      <c r="AG980" t="s">
        <v>9270</v>
      </c>
      <c r="AH980" t="s">
        <v>4280</v>
      </c>
      <c r="AI980">
        <v>2</v>
      </c>
      <c r="AJ980">
        <v>1</v>
      </c>
      <c r="AK980">
        <v>2</v>
      </c>
      <c r="AL980">
        <v>40.04</v>
      </c>
      <c r="AO980" t="s">
        <v>1425</v>
      </c>
      <c r="AP980">
        <v>8320</v>
      </c>
      <c r="AV980">
        <v>1.4</v>
      </c>
      <c r="AW980" t="s">
        <v>54</v>
      </c>
    </row>
    <row r="981" spans="1:49">
      <c r="A981" s="1">
        <f>HYPERLINK("https://cms.ls-nyc.org/matter/dynamic-profile/view/1878793","18-1878793")</f>
        <v>0</v>
      </c>
      <c r="B981" t="s">
        <v>72</v>
      </c>
      <c r="C981" t="s">
        <v>83</v>
      </c>
      <c r="D981" t="s">
        <v>215</v>
      </c>
      <c r="F981" t="s">
        <v>525</v>
      </c>
      <c r="G981" t="s">
        <v>2110</v>
      </c>
      <c r="H981" t="s">
        <v>2822</v>
      </c>
      <c r="I981" t="s">
        <v>3870</v>
      </c>
      <c r="J981" t="s">
        <v>4243</v>
      </c>
      <c r="K981">
        <v>11691</v>
      </c>
      <c r="L981" t="s">
        <v>4275</v>
      </c>
      <c r="M981" t="s">
        <v>4275</v>
      </c>
      <c r="O981" t="s">
        <v>4283</v>
      </c>
      <c r="P981" t="s">
        <v>5149</v>
      </c>
      <c r="Q981" t="s">
        <v>5731</v>
      </c>
      <c r="R981" t="s">
        <v>5753</v>
      </c>
      <c r="T981" t="s">
        <v>4276</v>
      </c>
      <c r="V981" t="s">
        <v>5767</v>
      </c>
      <c r="W981" t="s">
        <v>5772</v>
      </c>
      <c r="X981" t="s">
        <v>215</v>
      </c>
      <c r="Y981">
        <v>1213.18</v>
      </c>
      <c r="Z981" t="s">
        <v>5803</v>
      </c>
      <c r="AA981" t="s">
        <v>5804</v>
      </c>
      <c r="AC981" t="s">
        <v>6732</v>
      </c>
      <c r="AD981" t="s">
        <v>7643</v>
      </c>
      <c r="AE981" t="s">
        <v>8713</v>
      </c>
      <c r="AF981">
        <v>24</v>
      </c>
      <c r="AG981" t="s">
        <v>9270</v>
      </c>
      <c r="AH981" t="s">
        <v>9287</v>
      </c>
      <c r="AI981">
        <v>20</v>
      </c>
      <c r="AJ981">
        <v>1</v>
      </c>
      <c r="AK981">
        <v>1</v>
      </c>
      <c r="AL981">
        <v>41.88</v>
      </c>
      <c r="AO981" t="s">
        <v>1425</v>
      </c>
      <c r="AP981">
        <v>6892.8</v>
      </c>
      <c r="AV981">
        <v>1.2</v>
      </c>
      <c r="AW981" t="s">
        <v>54</v>
      </c>
    </row>
    <row r="982" spans="1:49">
      <c r="A982" s="1">
        <f>HYPERLINK("https://cms.ls-nyc.org/matter/dynamic-profile/view/1878535","18-1878535")</f>
        <v>0</v>
      </c>
      <c r="B982" t="s">
        <v>72</v>
      </c>
      <c r="C982" t="s">
        <v>83</v>
      </c>
      <c r="D982" t="s">
        <v>146</v>
      </c>
      <c r="F982" t="s">
        <v>1040</v>
      </c>
      <c r="G982" t="s">
        <v>2002</v>
      </c>
      <c r="H982" t="s">
        <v>3077</v>
      </c>
      <c r="I982" t="s">
        <v>4116</v>
      </c>
      <c r="J982" t="s">
        <v>4258</v>
      </c>
      <c r="K982">
        <v>11369</v>
      </c>
      <c r="L982" t="s">
        <v>4275</v>
      </c>
      <c r="M982" t="s">
        <v>4277</v>
      </c>
      <c r="O982" t="s">
        <v>4282</v>
      </c>
      <c r="P982" t="s">
        <v>5150</v>
      </c>
      <c r="Q982" t="s">
        <v>5731</v>
      </c>
      <c r="R982" t="s">
        <v>5753</v>
      </c>
      <c r="T982" t="s">
        <v>4276</v>
      </c>
      <c r="V982" t="s">
        <v>5767</v>
      </c>
      <c r="W982" t="s">
        <v>5774</v>
      </c>
      <c r="X982" t="s">
        <v>146</v>
      </c>
      <c r="Y982">
        <v>1494</v>
      </c>
      <c r="Z982" t="s">
        <v>5803</v>
      </c>
      <c r="AA982" t="s">
        <v>5804</v>
      </c>
      <c r="AC982" t="s">
        <v>6733</v>
      </c>
      <c r="AE982" t="s">
        <v>8714</v>
      </c>
      <c r="AF982">
        <v>43</v>
      </c>
      <c r="AG982" t="s">
        <v>9272</v>
      </c>
      <c r="AI982">
        <v>22</v>
      </c>
      <c r="AJ982">
        <v>1</v>
      </c>
      <c r="AK982">
        <v>0</v>
      </c>
      <c r="AL982">
        <v>45.07</v>
      </c>
      <c r="AO982" t="s">
        <v>9298</v>
      </c>
      <c r="AP982">
        <v>5472</v>
      </c>
      <c r="AV982">
        <v>1.6</v>
      </c>
      <c r="AW982" t="s">
        <v>54</v>
      </c>
    </row>
    <row r="983" spans="1:49">
      <c r="A983" s="1">
        <f>HYPERLINK("https://cms.ls-nyc.org/matter/dynamic-profile/view/1881185","18-1881185")</f>
        <v>0</v>
      </c>
      <c r="B983" t="s">
        <v>72</v>
      </c>
      <c r="C983" t="s">
        <v>83</v>
      </c>
      <c r="D983" t="s">
        <v>140</v>
      </c>
      <c r="F983" t="s">
        <v>1041</v>
      </c>
      <c r="G983" t="s">
        <v>2111</v>
      </c>
      <c r="H983" t="s">
        <v>3336</v>
      </c>
      <c r="I983" t="s">
        <v>3932</v>
      </c>
      <c r="J983" t="s">
        <v>4227</v>
      </c>
      <c r="K983">
        <v>11365</v>
      </c>
      <c r="L983" t="s">
        <v>4275</v>
      </c>
      <c r="M983" t="s">
        <v>4275</v>
      </c>
      <c r="O983" t="s">
        <v>4282</v>
      </c>
      <c r="P983" t="s">
        <v>5151</v>
      </c>
      <c r="Q983" t="s">
        <v>5731</v>
      </c>
      <c r="R983" t="s">
        <v>5751</v>
      </c>
      <c r="T983" t="s">
        <v>4276</v>
      </c>
      <c r="V983" t="s">
        <v>5768</v>
      </c>
      <c r="W983" t="s">
        <v>5772</v>
      </c>
      <c r="X983" t="s">
        <v>140</v>
      </c>
      <c r="Y983">
        <v>772</v>
      </c>
      <c r="Z983" t="s">
        <v>5803</v>
      </c>
      <c r="AA983" t="s">
        <v>5804</v>
      </c>
      <c r="AC983" t="s">
        <v>6215</v>
      </c>
      <c r="AD983" t="s">
        <v>7644</v>
      </c>
      <c r="AE983" t="s">
        <v>8715</v>
      </c>
      <c r="AF983">
        <v>60</v>
      </c>
      <c r="AG983" t="s">
        <v>9271</v>
      </c>
      <c r="AH983" t="s">
        <v>4280</v>
      </c>
      <c r="AI983">
        <v>16</v>
      </c>
      <c r="AJ983">
        <v>2</v>
      </c>
      <c r="AK983">
        <v>0</v>
      </c>
      <c r="AL983">
        <v>46.37</v>
      </c>
      <c r="AO983" t="s">
        <v>1425</v>
      </c>
      <c r="AP983">
        <v>7632</v>
      </c>
      <c r="AV983">
        <v>11.95</v>
      </c>
      <c r="AW983" t="s">
        <v>73</v>
      </c>
    </row>
    <row r="984" spans="1:49">
      <c r="A984" s="1">
        <f>HYPERLINK("https://cms.ls-nyc.org/matter/dynamic-profile/view/1895744","19-1895744")</f>
        <v>0</v>
      </c>
      <c r="B984" t="s">
        <v>72</v>
      </c>
      <c r="C984" t="s">
        <v>83</v>
      </c>
      <c r="D984" t="s">
        <v>94</v>
      </c>
      <c r="F984" t="s">
        <v>1042</v>
      </c>
      <c r="G984" t="s">
        <v>2112</v>
      </c>
      <c r="H984" t="s">
        <v>3337</v>
      </c>
      <c r="I984" t="s">
        <v>3888</v>
      </c>
      <c r="J984" t="s">
        <v>4251</v>
      </c>
      <c r="K984">
        <v>11377</v>
      </c>
      <c r="L984" t="s">
        <v>4275</v>
      </c>
      <c r="M984" t="s">
        <v>4275</v>
      </c>
      <c r="O984" t="s">
        <v>4282</v>
      </c>
      <c r="P984" t="s">
        <v>5152</v>
      </c>
      <c r="Q984" t="s">
        <v>5731</v>
      </c>
      <c r="R984" t="s">
        <v>5753</v>
      </c>
      <c r="T984" t="s">
        <v>4276</v>
      </c>
      <c r="V984" t="s">
        <v>5767</v>
      </c>
      <c r="W984" t="s">
        <v>5772</v>
      </c>
      <c r="X984" t="s">
        <v>94</v>
      </c>
      <c r="Y984">
        <v>1750</v>
      </c>
      <c r="Z984" t="s">
        <v>5803</v>
      </c>
      <c r="AA984" t="s">
        <v>5804</v>
      </c>
      <c r="AC984" t="s">
        <v>6734</v>
      </c>
      <c r="AE984" t="s">
        <v>8716</v>
      </c>
      <c r="AF984">
        <v>72</v>
      </c>
      <c r="AG984" t="s">
        <v>9270</v>
      </c>
      <c r="AH984" t="s">
        <v>4280</v>
      </c>
      <c r="AI984">
        <v>11</v>
      </c>
      <c r="AJ984">
        <v>2</v>
      </c>
      <c r="AK984">
        <v>0</v>
      </c>
      <c r="AL984">
        <v>51.24</v>
      </c>
      <c r="AO984" t="s">
        <v>1425</v>
      </c>
      <c r="AP984">
        <v>8664</v>
      </c>
      <c r="AV984">
        <v>1.5</v>
      </c>
      <c r="AW984" t="s">
        <v>54</v>
      </c>
    </row>
    <row r="985" spans="1:49">
      <c r="A985" s="1">
        <f>HYPERLINK("https://cms.ls-nyc.org/matter/dynamic-profile/view/1874642","18-1874642")</f>
        <v>0</v>
      </c>
      <c r="B985" t="s">
        <v>72</v>
      </c>
      <c r="C985" t="s">
        <v>83</v>
      </c>
      <c r="D985" t="s">
        <v>103</v>
      </c>
      <c r="F985" t="s">
        <v>1043</v>
      </c>
      <c r="G985" t="s">
        <v>2113</v>
      </c>
      <c r="H985" t="s">
        <v>3338</v>
      </c>
      <c r="I985" t="s">
        <v>3856</v>
      </c>
      <c r="J985" t="s">
        <v>4222</v>
      </c>
      <c r="K985">
        <v>11435</v>
      </c>
      <c r="L985" t="s">
        <v>4275</v>
      </c>
      <c r="M985" t="s">
        <v>4277</v>
      </c>
      <c r="O985" t="s">
        <v>4282</v>
      </c>
      <c r="P985" t="s">
        <v>5153</v>
      </c>
      <c r="Q985" t="s">
        <v>5732</v>
      </c>
      <c r="R985" t="s">
        <v>5753</v>
      </c>
      <c r="T985" t="s">
        <v>4276</v>
      </c>
      <c r="V985" t="s">
        <v>5767</v>
      </c>
      <c r="W985" t="s">
        <v>5771</v>
      </c>
      <c r="X985" t="s">
        <v>103</v>
      </c>
      <c r="Y985">
        <v>1150</v>
      </c>
      <c r="Z985" t="s">
        <v>5803</v>
      </c>
      <c r="AA985" t="s">
        <v>5804</v>
      </c>
      <c r="AC985" t="s">
        <v>6735</v>
      </c>
      <c r="AD985" t="s">
        <v>7645</v>
      </c>
      <c r="AE985" t="s">
        <v>8717</v>
      </c>
      <c r="AF985">
        <v>2</v>
      </c>
      <c r="AG985" t="s">
        <v>9269</v>
      </c>
      <c r="AH985" t="s">
        <v>9283</v>
      </c>
      <c r="AI985">
        <v>5</v>
      </c>
      <c r="AJ985">
        <v>2</v>
      </c>
      <c r="AK985">
        <v>0</v>
      </c>
      <c r="AL985">
        <v>53.51</v>
      </c>
      <c r="AO985" t="s">
        <v>1425</v>
      </c>
      <c r="AP985">
        <v>8808</v>
      </c>
      <c r="AV985">
        <v>1</v>
      </c>
      <c r="AW985" t="s">
        <v>73</v>
      </c>
    </row>
    <row r="986" spans="1:49">
      <c r="A986" s="1">
        <f>HYPERLINK("https://cms.ls-nyc.org/matter/dynamic-profile/view/1874580","18-1874580")</f>
        <v>0</v>
      </c>
      <c r="B986" t="s">
        <v>72</v>
      </c>
      <c r="C986" t="s">
        <v>83</v>
      </c>
      <c r="D986" t="s">
        <v>103</v>
      </c>
      <c r="F986" t="s">
        <v>757</v>
      </c>
      <c r="G986" t="s">
        <v>2114</v>
      </c>
      <c r="H986" t="s">
        <v>3339</v>
      </c>
      <c r="J986" t="s">
        <v>4232</v>
      </c>
      <c r="K986">
        <v>11104</v>
      </c>
      <c r="L986" t="s">
        <v>4275</v>
      </c>
      <c r="M986" t="s">
        <v>4277</v>
      </c>
      <c r="O986" t="s">
        <v>4282</v>
      </c>
      <c r="P986" t="s">
        <v>5154</v>
      </c>
      <c r="Q986" t="s">
        <v>5732</v>
      </c>
      <c r="R986" t="s">
        <v>5753</v>
      </c>
      <c r="T986" t="s">
        <v>4276</v>
      </c>
      <c r="V986" t="s">
        <v>5767</v>
      </c>
      <c r="W986" t="s">
        <v>5772</v>
      </c>
      <c r="X986" t="s">
        <v>103</v>
      </c>
      <c r="Y986">
        <v>1000</v>
      </c>
      <c r="Z986" t="s">
        <v>5803</v>
      </c>
      <c r="AA986" t="s">
        <v>5804</v>
      </c>
      <c r="AC986" t="s">
        <v>6736</v>
      </c>
      <c r="AE986" t="s">
        <v>8718</v>
      </c>
      <c r="AF986">
        <v>0</v>
      </c>
      <c r="AH986" t="s">
        <v>4280</v>
      </c>
      <c r="AI986">
        <v>10</v>
      </c>
      <c r="AJ986">
        <v>1</v>
      </c>
      <c r="AK986">
        <v>0</v>
      </c>
      <c r="AL986">
        <v>54.37</v>
      </c>
      <c r="AN986" t="s">
        <v>9294</v>
      </c>
      <c r="AO986" t="s">
        <v>1425</v>
      </c>
      <c r="AP986">
        <v>6600</v>
      </c>
      <c r="AV986">
        <v>1</v>
      </c>
      <c r="AW986" t="s">
        <v>54</v>
      </c>
    </row>
    <row r="987" spans="1:49">
      <c r="A987" s="1">
        <f>HYPERLINK("https://cms.ls-nyc.org/matter/dynamic-profile/view/1876376","18-1876376")</f>
        <v>0</v>
      </c>
      <c r="B987" t="s">
        <v>72</v>
      </c>
      <c r="C987" t="s">
        <v>82</v>
      </c>
      <c r="D987" t="s">
        <v>194</v>
      </c>
      <c r="E987" t="s">
        <v>207</v>
      </c>
      <c r="F987" t="s">
        <v>497</v>
      </c>
      <c r="G987" t="s">
        <v>2115</v>
      </c>
      <c r="H987" t="s">
        <v>3340</v>
      </c>
      <c r="I987" t="s">
        <v>4061</v>
      </c>
      <c r="J987" t="s">
        <v>4272</v>
      </c>
      <c r="K987">
        <v>11106</v>
      </c>
      <c r="L987" t="s">
        <v>4275</v>
      </c>
      <c r="M987" t="s">
        <v>4275</v>
      </c>
      <c r="O987" t="s">
        <v>4282</v>
      </c>
      <c r="P987" t="s">
        <v>5155</v>
      </c>
      <c r="Q987" t="s">
        <v>5731</v>
      </c>
      <c r="R987" t="s">
        <v>5751</v>
      </c>
      <c r="S987" t="s">
        <v>5758</v>
      </c>
      <c r="T987" t="s">
        <v>4276</v>
      </c>
      <c r="V987" t="s">
        <v>5767</v>
      </c>
      <c r="W987" t="s">
        <v>5772</v>
      </c>
      <c r="X987" t="s">
        <v>194</v>
      </c>
      <c r="Y987">
        <v>233</v>
      </c>
      <c r="Z987" t="s">
        <v>5803</v>
      </c>
      <c r="AA987" t="s">
        <v>5804</v>
      </c>
      <c r="AB987" t="s">
        <v>5823</v>
      </c>
      <c r="AC987" t="s">
        <v>6737</v>
      </c>
      <c r="AD987" t="s">
        <v>7646</v>
      </c>
      <c r="AE987" t="s">
        <v>8719</v>
      </c>
      <c r="AF987">
        <v>96</v>
      </c>
      <c r="AG987" t="s">
        <v>9271</v>
      </c>
      <c r="AH987" t="s">
        <v>4280</v>
      </c>
      <c r="AI987">
        <v>12</v>
      </c>
      <c r="AJ987">
        <v>1</v>
      </c>
      <c r="AK987">
        <v>1</v>
      </c>
      <c r="AL987">
        <v>54.68</v>
      </c>
      <c r="AO987" t="s">
        <v>9298</v>
      </c>
      <c r="AP987">
        <v>9000</v>
      </c>
      <c r="AR987" t="s">
        <v>9329</v>
      </c>
      <c r="AS987" t="s">
        <v>9336</v>
      </c>
      <c r="AT987" t="s">
        <v>9369</v>
      </c>
      <c r="AU987" t="s">
        <v>9501</v>
      </c>
      <c r="AV987">
        <v>8.949999999999999</v>
      </c>
      <c r="AW987" t="s">
        <v>74</v>
      </c>
    </row>
    <row r="988" spans="1:49">
      <c r="A988" s="1">
        <f>HYPERLINK("https://cms.ls-nyc.org/matter/dynamic-profile/view/1890319","19-1890319")</f>
        <v>0</v>
      </c>
      <c r="B988" t="s">
        <v>72</v>
      </c>
      <c r="C988" t="s">
        <v>83</v>
      </c>
      <c r="D988" t="s">
        <v>127</v>
      </c>
      <c r="F988" t="s">
        <v>1044</v>
      </c>
      <c r="G988" t="s">
        <v>1450</v>
      </c>
      <c r="J988" t="s">
        <v>4222</v>
      </c>
      <c r="K988">
        <v>11434</v>
      </c>
      <c r="L988" t="s">
        <v>4275</v>
      </c>
      <c r="M988" t="s">
        <v>4275</v>
      </c>
      <c r="O988" t="s">
        <v>4281</v>
      </c>
      <c r="P988" t="s">
        <v>5156</v>
      </c>
      <c r="Q988" t="s">
        <v>5732</v>
      </c>
      <c r="R988" t="s">
        <v>5751</v>
      </c>
      <c r="T988" t="s">
        <v>4276</v>
      </c>
      <c r="V988" t="s">
        <v>5767</v>
      </c>
      <c r="W988" t="s">
        <v>5772</v>
      </c>
      <c r="X988" t="s">
        <v>127</v>
      </c>
      <c r="Y988">
        <v>2000</v>
      </c>
      <c r="Z988" t="s">
        <v>5803</v>
      </c>
      <c r="AA988" t="s">
        <v>5805</v>
      </c>
      <c r="AC988" t="s">
        <v>6738</v>
      </c>
      <c r="AE988" t="s">
        <v>7289</v>
      </c>
      <c r="AF988">
        <v>1</v>
      </c>
      <c r="AG988" t="s">
        <v>9270</v>
      </c>
      <c r="AH988" t="s">
        <v>4280</v>
      </c>
      <c r="AI988">
        <v>3</v>
      </c>
      <c r="AJ988">
        <v>2</v>
      </c>
      <c r="AK988">
        <v>2</v>
      </c>
      <c r="AL988">
        <v>60.58</v>
      </c>
      <c r="AO988" t="s">
        <v>1425</v>
      </c>
      <c r="AP988">
        <v>15600</v>
      </c>
      <c r="AR988" t="s">
        <v>9329</v>
      </c>
      <c r="AS988" t="s">
        <v>9336</v>
      </c>
      <c r="AT988" t="s">
        <v>9369</v>
      </c>
      <c r="AU988" t="s">
        <v>9383</v>
      </c>
      <c r="AV988">
        <v>13.8</v>
      </c>
      <c r="AW988" t="s">
        <v>54</v>
      </c>
    </row>
    <row r="989" spans="1:49">
      <c r="A989" s="1">
        <f>HYPERLINK("https://cms.ls-nyc.org/matter/dynamic-profile/view/1885649","18-1885649")</f>
        <v>0</v>
      </c>
      <c r="B989" t="s">
        <v>72</v>
      </c>
      <c r="C989" t="s">
        <v>83</v>
      </c>
      <c r="D989" t="s">
        <v>187</v>
      </c>
      <c r="F989" t="s">
        <v>528</v>
      </c>
      <c r="G989" t="s">
        <v>2116</v>
      </c>
      <c r="H989" t="s">
        <v>3341</v>
      </c>
      <c r="I989">
        <v>1</v>
      </c>
      <c r="J989" t="s">
        <v>4254</v>
      </c>
      <c r="K989">
        <v>11692</v>
      </c>
      <c r="L989" t="s">
        <v>4275</v>
      </c>
      <c r="M989" t="s">
        <v>4275</v>
      </c>
      <c r="O989" t="s">
        <v>4283</v>
      </c>
      <c r="P989" t="s">
        <v>5157</v>
      </c>
      <c r="Q989" t="s">
        <v>5732</v>
      </c>
      <c r="R989" t="s">
        <v>5753</v>
      </c>
      <c r="T989" t="s">
        <v>4276</v>
      </c>
      <c r="V989" t="s">
        <v>5767</v>
      </c>
      <c r="W989" t="s">
        <v>5772</v>
      </c>
      <c r="X989" t="s">
        <v>187</v>
      </c>
      <c r="Y989">
        <v>1</v>
      </c>
      <c r="Z989" t="s">
        <v>5803</v>
      </c>
      <c r="AA989" t="s">
        <v>5804</v>
      </c>
      <c r="AC989" t="s">
        <v>6739</v>
      </c>
      <c r="AD989" t="s">
        <v>7647</v>
      </c>
      <c r="AE989" t="s">
        <v>8720</v>
      </c>
      <c r="AF989">
        <v>2</v>
      </c>
      <c r="AG989" t="s">
        <v>9269</v>
      </c>
      <c r="AH989" t="s">
        <v>4280</v>
      </c>
      <c r="AI989">
        <v>22</v>
      </c>
      <c r="AJ989">
        <v>2</v>
      </c>
      <c r="AK989">
        <v>1</v>
      </c>
      <c r="AL989">
        <v>62.06</v>
      </c>
      <c r="AO989" t="s">
        <v>1425</v>
      </c>
      <c r="AP989">
        <v>12896</v>
      </c>
      <c r="AV989">
        <v>1</v>
      </c>
      <c r="AW989" t="s">
        <v>74</v>
      </c>
    </row>
    <row r="990" spans="1:49">
      <c r="A990" s="1">
        <f>HYPERLINK("https://cms.ls-nyc.org/matter/dynamic-profile/view/1883303","18-1883303")</f>
        <v>0</v>
      </c>
      <c r="B990" t="s">
        <v>72</v>
      </c>
      <c r="C990" t="s">
        <v>83</v>
      </c>
      <c r="D990" t="s">
        <v>145</v>
      </c>
      <c r="F990" t="s">
        <v>1045</v>
      </c>
      <c r="G990" t="s">
        <v>2117</v>
      </c>
      <c r="H990" t="s">
        <v>3342</v>
      </c>
      <c r="I990" t="s">
        <v>3864</v>
      </c>
      <c r="J990" t="s">
        <v>4236</v>
      </c>
      <c r="K990">
        <v>11416</v>
      </c>
      <c r="L990" t="s">
        <v>4275</v>
      </c>
      <c r="M990" t="s">
        <v>4275</v>
      </c>
      <c r="O990" t="s">
        <v>4282</v>
      </c>
      <c r="P990" t="s">
        <v>5158</v>
      </c>
      <c r="Q990" t="s">
        <v>5731</v>
      </c>
      <c r="R990" t="s">
        <v>5751</v>
      </c>
      <c r="T990" t="s">
        <v>4276</v>
      </c>
      <c r="V990" t="s">
        <v>5767</v>
      </c>
      <c r="W990" t="s">
        <v>5772</v>
      </c>
      <c r="X990" t="s">
        <v>145</v>
      </c>
      <c r="Y990">
        <v>1515</v>
      </c>
      <c r="Z990" t="s">
        <v>5803</v>
      </c>
      <c r="AA990" t="s">
        <v>5804</v>
      </c>
      <c r="AC990" t="s">
        <v>6740</v>
      </c>
      <c r="AD990" t="s">
        <v>7648</v>
      </c>
      <c r="AE990" t="s">
        <v>8721</v>
      </c>
      <c r="AF990">
        <v>2</v>
      </c>
      <c r="AG990" t="s">
        <v>9269</v>
      </c>
      <c r="AH990" t="s">
        <v>4280</v>
      </c>
      <c r="AI990">
        <v>4</v>
      </c>
      <c r="AJ990">
        <v>2</v>
      </c>
      <c r="AK990">
        <v>2</v>
      </c>
      <c r="AL990">
        <v>62.15</v>
      </c>
      <c r="AO990" t="s">
        <v>1425</v>
      </c>
      <c r="AP990">
        <v>15600</v>
      </c>
      <c r="AR990" t="s">
        <v>9329</v>
      </c>
      <c r="AS990" t="s">
        <v>9336</v>
      </c>
      <c r="AT990" t="s">
        <v>9369</v>
      </c>
      <c r="AU990" t="s">
        <v>9523</v>
      </c>
      <c r="AV990">
        <v>19.15</v>
      </c>
      <c r="AW990" t="s">
        <v>73</v>
      </c>
    </row>
    <row r="991" spans="1:49">
      <c r="A991" s="1">
        <f>HYPERLINK("https://cms.ls-nyc.org/matter/dynamic-profile/view/1879489","18-1879489")</f>
        <v>0</v>
      </c>
      <c r="B991" t="s">
        <v>72</v>
      </c>
      <c r="C991" t="s">
        <v>83</v>
      </c>
      <c r="D991" t="s">
        <v>128</v>
      </c>
      <c r="F991" t="s">
        <v>1046</v>
      </c>
      <c r="G991" t="s">
        <v>1544</v>
      </c>
      <c r="H991" t="s">
        <v>3343</v>
      </c>
      <c r="J991" t="s">
        <v>4222</v>
      </c>
      <c r="K991">
        <v>11433</v>
      </c>
      <c r="L991" t="s">
        <v>4275</v>
      </c>
      <c r="M991" t="s">
        <v>4275</v>
      </c>
      <c r="O991" t="s">
        <v>4281</v>
      </c>
      <c r="P991" t="s">
        <v>5159</v>
      </c>
      <c r="Q991" t="s">
        <v>5732</v>
      </c>
      <c r="R991" t="s">
        <v>5752</v>
      </c>
      <c r="T991" t="s">
        <v>4276</v>
      </c>
      <c r="V991" t="s">
        <v>5767</v>
      </c>
      <c r="W991" t="s">
        <v>5772</v>
      </c>
      <c r="Y991">
        <v>2000</v>
      </c>
      <c r="Z991" t="s">
        <v>5803</v>
      </c>
      <c r="AA991" t="s">
        <v>5807</v>
      </c>
      <c r="AC991" t="s">
        <v>6165</v>
      </c>
      <c r="AE991" t="s">
        <v>8722</v>
      </c>
      <c r="AF991">
        <v>2</v>
      </c>
      <c r="AH991" t="s">
        <v>9282</v>
      </c>
      <c r="AI991">
        <v>11</v>
      </c>
      <c r="AJ991">
        <v>5</v>
      </c>
      <c r="AK991">
        <v>4</v>
      </c>
      <c r="AL991">
        <v>63.33</v>
      </c>
      <c r="AO991" t="s">
        <v>1425</v>
      </c>
      <c r="AP991">
        <v>29576.04</v>
      </c>
      <c r="AV991">
        <v>18.6</v>
      </c>
      <c r="AW991" t="s">
        <v>60</v>
      </c>
    </row>
    <row r="992" spans="1:49">
      <c r="A992" s="1">
        <f>HYPERLINK("https://cms.ls-nyc.org/matter/dynamic-profile/view/1891924","19-1891924")</f>
        <v>0</v>
      </c>
      <c r="B992" t="s">
        <v>72</v>
      </c>
      <c r="C992" t="s">
        <v>83</v>
      </c>
      <c r="D992" t="s">
        <v>165</v>
      </c>
      <c r="F992" t="s">
        <v>542</v>
      </c>
      <c r="G992" t="s">
        <v>1604</v>
      </c>
      <c r="H992" t="s">
        <v>3344</v>
      </c>
      <c r="I992" t="s">
        <v>3867</v>
      </c>
      <c r="J992" t="s">
        <v>4222</v>
      </c>
      <c r="K992">
        <v>11434</v>
      </c>
      <c r="L992" t="s">
        <v>4275</v>
      </c>
      <c r="M992" t="s">
        <v>4275</v>
      </c>
      <c r="O992" t="s">
        <v>4282</v>
      </c>
      <c r="P992" t="s">
        <v>5160</v>
      </c>
      <c r="Q992" t="s">
        <v>5732</v>
      </c>
      <c r="R992" t="s">
        <v>5751</v>
      </c>
      <c r="T992" t="s">
        <v>4276</v>
      </c>
      <c r="V992" t="s">
        <v>5767</v>
      </c>
      <c r="Y992">
        <v>600</v>
      </c>
      <c r="Z992" t="s">
        <v>5803</v>
      </c>
      <c r="AA992" t="s">
        <v>5804</v>
      </c>
      <c r="AC992" t="s">
        <v>6741</v>
      </c>
      <c r="AD992" t="s">
        <v>7409</v>
      </c>
      <c r="AE992" t="s">
        <v>8095</v>
      </c>
      <c r="AF992">
        <v>0</v>
      </c>
      <c r="AG992" t="s">
        <v>9270</v>
      </c>
      <c r="AH992" t="s">
        <v>4280</v>
      </c>
      <c r="AI992">
        <v>12</v>
      </c>
      <c r="AJ992">
        <v>2</v>
      </c>
      <c r="AK992">
        <v>0</v>
      </c>
      <c r="AL992">
        <v>63.87</v>
      </c>
      <c r="AO992" t="s">
        <v>1425</v>
      </c>
      <c r="AP992">
        <v>10800</v>
      </c>
      <c r="AV992">
        <v>10.45</v>
      </c>
      <c r="AW992" t="s">
        <v>54</v>
      </c>
    </row>
    <row r="993" spans="1:49">
      <c r="A993" s="1">
        <f>HYPERLINK("https://cms.ls-nyc.org/matter/dynamic-profile/view/1886249","18-1886249")</f>
        <v>0</v>
      </c>
      <c r="B993" t="s">
        <v>72</v>
      </c>
      <c r="C993" t="s">
        <v>83</v>
      </c>
      <c r="D993" t="s">
        <v>182</v>
      </c>
      <c r="F993" t="s">
        <v>1047</v>
      </c>
      <c r="G993" t="s">
        <v>2118</v>
      </c>
      <c r="H993" t="s">
        <v>3044</v>
      </c>
      <c r="I993" t="s">
        <v>3944</v>
      </c>
      <c r="J993" t="s">
        <v>4241</v>
      </c>
      <c r="K993">
        <v>11368</v>
      </c>
      <c r="L993" t="s">
        <v>4275</v>
      </c>
      <c r="M993" t="s">
        <v>4275</v>
      </c>
      <c r="O993" t="s">
        <v>4282</v>
      </c>
      <c r="P993" t="s">
        <v>5161</v>
      </c>
      <c r="Q993" t="s">
        <v>5731</v>
      </c>
      <c r="R993" t="s">
        <v>5753</v>
      </c>
      <c r="T993" t="s">
        <v>4276</v>
      </c>
      <c r="V993" t="s">
        <v>5767</v>
      </c>
      <c r="W993" t="s">
        <v>5773</v>
      </c>
      <c r="X993" t="s">
        <v>182</v>
      </c>
      <c r="Y993">
        <v>1213</v>
      </c>
      <c r="Z993" t="s">
        <v>5803</v>
      </c>
      <c r="AA993" t="s">
        <v>5804</v>
      </c>
      <c r="AC993" t="s">
        <v>6742</v>
      </c>
      <c r="AD993" t="s">
        <v>7649</v>
      </c>
      <c r="AE993" t="s">
        <v>8723</v>
      </c>
      <c r="AF993">
        <v>229</v>
      </c>
      <c r="AG993" t="s">
        <v>9272</v>
      </c>
      <c r="AH993" t="s">
        <v>4280</v>
      </c>
      <c r="AI993">
        <v>41</v>
      </c>
      <c r="AJ993">
        <v>3</v>
      </c>
      <c r="AK993">
        <v>1</v>
      </c>
      <c r="AL993">
        <v>65.55</v>
      </c>
      <c r="AO993" t="s">
        <v>1425</v>
      </c>
      <c r="AP993">
        <v>16452</v>
      </c>
      <c r="AV993">
        <v>1</v>
      </c>
      <c r="AW993" t="s">
        <v>73</v>
      </c>
    </row>
    <row r="994" spans="1:49">
      <c r="A994" s="1">
        <f>HYPERLINK("https://cms.ls-nyc.org/matter/dynamic-profile/view/1893395","19-1893395")</f>
        <v>0</v>
      </c>
      <c r="B994" t="s">
        <v>72</v>
      </c>
      <c r="C994" t="s">
        <v>83</v>
      </c>
      <c r="D994" t="s">
        <v>173</v>
      </c>
      <c r="F994" t="s">
        <v>1048</v>
      </c>
      <c r="G994" t="s">
        <v>1867</v>
      </c>
      <c r="H994" t="s">
        <v>3345</v>
      </c>
      <c r="I994" t="s">
        <v>4093</v>
      </c>
      <c r="J994" t="s">
        <v>4240</v>
      </c>
      <c r="K994">
        <v>11373</v>
      </c>
      <c r="L994" t="s">
        <v>4275</v>
      </c>
      <c r="M994" t="s">
        <v>4275</v>
      </c>
      <c r="N994" t="s">
        <v>4278</v>
      </c>
      <c r="O994" t="s">
        <v>4281</v>
      </c>
      <c r="P994" t="s">
        <v>5162</v>
      </c>
      <c r="Q994" t="s">
        <v>5731</v>
      </c>
      <c r="R994" t="s">
        <v>5751</v>
      </c>
      <c r="V994" t="s">
        <v>5767</v>
      </c>
      <c r="X994" t="s">
        <v>173</v>
      </c>
      <c r="Y994">
        <v>1257.2</v>
      </c>
      <c r="Z994" t="s">
        <v>5803</v>
      </c>
      <c r="AA994" t="s">
        <v>5812</v>
      </c>
      <c r="AC994" t="s">
        <v>6743</v>
      </c>
      <c r="AE994" t="s">
        <v>8724</v>
      </c>
      <c r="AF994">
        <v>76</v>
      </c>
      <c r="AH994" t="s">
        <v>9283</v>
      </c>
      <c r="AI994">
        <v>22</v>
      </c>
      <c r="AJ994">
        <v>2</v>
      </c>
      <c r="AK994">
        <v>2</v>
      </c>
      <c r="AL994">
        <v>66.55</v>
      </c>
      <c r="AO994" t="s">
        <v>9298</v>
      </c>
      <c r="AP994">
        <v>17136</v>
      </c>
      <c r="AV994">
        <v>6.7</v>
      </c>
      <c r="AW994" t="s">
        <v>74</v>
      </c>
    </row>
    <row r="995" spans="1:49">
      <c r="A995" s="1">
        <f>HYPERLINK("https://cms.ls-nyc.org/matter/dynamic-profile/view/1893023","19-1893023")</f>
        <v>0</v>
      </c>
      <c r="B995" t="s">
        <v>72</v>
      </c>
      <c r="C995" t="s">
        <v>83</v>
      </c>
      <c r="D995" t="s">
        <v>114</v>
      </c>
      <c r="F995" t="s">
        <v>413</v>
      </c>
      <c r="G995" t="s">
        <v>2119</v>
      </c>
      <c r="H995" t="s">
        <v>3346</v>
      </c>
      <c r="I995" t="s">
        <v>4117</v>
      </c>
      <c r="J995" t="s">
        <v>4240</v>
      </c>
      <c r="K995">
        <v>11373</v>
      </c>
      <c r="L995" t="s">
        <v>4275</v>
      </c>
      <c r="M995" t="s">
        <v>4275</v>
      </c>
      <c r="O995" t="s">
        <v>4281</v>
      </c>
      <c r="P995" t="s">
        <v>5163</v>
      </c>
      <c r="Q995" t="s">
        <v>5731</v>
      </c>
      <c r="R995" t="s">
        <v>5751</v>
      </c>
      <c r="T995" t="s">
        <v>4276</v>
      </c>
      <c r="V995" t="s">
        <v>5767</v>
      </c>
      <c r="W995" t="s">
        <v>5772</v>
      </c>
      <c r="X995" t="s">
        <v>114</v>
      </c>
      <c r="Y995">
        <v>907</v>
      </c>
      <c r="Z995" t="s">
        <v>5803</v>
      </c>
      <c r="AA995" t="s">
        <v>5804</v>
      </c>
      <c r="AC995" t="s">
        <v>6744</v>
      </c>
      <c r="AD995" t="s">
        <v>7650</v>
      </c>
      <c r="AE995" t="s">
        <v>8725</v>
      </c>
      <c r="AF995">
        <v>112</v>
      </c>
      <c r="AG995" t="s">
        <v>9272</v>
      </c>
      <c r="AH995" t="s">
        <v>9287</v>
      </c>
      <c r="AI995">
        <v>45</v>
      </c>
      <c r="AJ995">
        <v>1</v>
      </c>
      <c r="AK995">
        <v>0</v>
      </c>
      <c r="AL995">
        <v>69.84999999999999</v>
      </c>
      <c r="AO995" t="s">
        <v>9298</v>
      </c>
      <c r="AP995">
        <v>8724</v>
      </c>
      <c r="AV995">
        <v>28.85</v>
      </c>
      <c r="AW995" t="s">
        <v>54</v>
      </c>
    </row>
    <row r="996" spans="1:49">
      <c r="A996" s="1">
        <f>HYPERLINK("https://cms.ls-nyc.org/matter/dynamic-profile/view/1901001","19-1901001")</f>
        <v>0</v>
      </c>
      <c r="B996" t="s">
        <v>72</v>
      </c>
      <c r="C996" t="s">
        <v>83</v>
      </c>
      <c r="D996" t="s">
        <v>217</v>
      </c>
      <c r="F996" t="s">
        <v>890</v>
      </c>
      <c r="G996" t="s">
        <v>2120</v>
      </c>
      <c r="H996" t="s">
        <v>3347</v>
      </c>
      <c r="I996" t="s">
        <v>3847</v>
      </c>
      <c r="J996" t="s">
        <v>4229</v>
      </c>
      <c r="K996">
        <v>11355</v>
      </c>
      <c r="L996" t="s">
        <v>4275</v>
      </c>
      <c r="M996" t="s">
        <v>4277</v>
      </c>
      <c r="N996" t="s">
        <v>4278</v>
      </c>
      <c r="O996" t="s">
        <v>4282</v>
      </c>
      <c r="P996" t="s">
        <v>5164</v>
      </c>
      <c r="Q996" t="s">
        <v>5731</v>
      </c>
      <c r="R996" t="s">
        <v>5751</v>
      </c>
      <c r="T996" t="s">
        <v>4276</v>
      </c>
      <c r="V996" t="s">
        <v>5767</v>
      </c>
      <c r="W996" t="s">
        <v>5774</v>
      </c>
      <c r="X996" t="s">
        <v>217</v>
      </c>
      <c r="Y996">
        <v>1085.21</v>
      </c>
      <c r="Z996" t="s">
        <v>5803</v>
      </c>
      <c r="AA996" t="s">
        <v>5804</v>
      </c>
      <c r="AC996" t="s">
        <v>6745</v>
      </c>
      <c r="AD996" t="s">
        <v>7651</v>
      </c>
      <c r="AE996" t="s">
        <v>8726</v>
      </c>
      <c r="AF996">
        <v>126</v>
      </c>
      <c r="AG996" t="s">
        <v>9272</v>
      </c>
      <c r="AH996" t="s">
        <v>9287</v>
      </c>
      <c r="AI996">
        <v>41</v>
      </c>
      <c r="AJ996">
        <v>3</v>
      </c>
      <c r="AK996">
        <v>1</v>
      </c>
      <c r="AL996">
        <v>72.11</v>
      </c>
      <c r="AO996" t="s">
        <v>1425</v>
      </c>
      <c r="AP996">
        <v>18567.6</v>
      </c>
      <c r="AV996">
        <v>1.6</v>
      </c>
      <c r="AW996" t="s">
        <v>9549</v>
      </c>
    </row>
    <row r="997" spans="1:49">
      <c r="A997" s="1">
        <f>HYPERLINK("https://cms.ls-nyc.org/matter/dynamic-profile/view/1873303","18-1873303")</f>
        <v>0</v>
      </c>
      <c r="B997" t="s">
        <v>72</v>
      </c>
      <c r="C997" t="s">
        <v>83</v>
      </c>
      <c r="D997" t="s">
        <v>153</v>
      </c>
      <c r="F997" t="s">
        <v>760</v>
      </c>
      <c r="G997" t="s">
        <v>1522</v>
      </c>
      <c r="H997" t="s">
        <v>3121</v>
      </c>
      <c r="I997" t="s">
        <v>3937</v>
      </c>
      <c r="J997" t="s">
        <v>4229</v>
      </c>
      <c r="K997">
        <v>11355</v>
      </c>
      <c r="L997" t="s">
        <v>4275</v>
      </c>
      <c r="M997" t="s">
        <v>4275</v>
      </c>
      <c r="O997" t="s">
        <v>4282</v>
      </c>
      <c r="P997" t="s">
        <v>5165</v>
      </c>
      <c r="Q997" t="s">
        <v>5732</v>
      </c>
      <c r="R997" t="s">
        <v>5753</v>
      </c>
      <c r="T997" t="s">
        <v>4276</v>
      </c>
      <c r="V997" t="s">
        <v>5767</v>
      </c>
      <c r="W997" t="s">
        <v>5772</v>
      </c>
      <c r="X997" t="s">
        <v>153</v>
      </c>
      <c r="Y997">
        <v>2000</v>
      </c>
      <c r="Z997" t="s">
        <v>5803</v>
      </c>
      <c r="AA997" t="s">
        <v>5804</v>
      </c>
      <c r="AC997" t="s">
        <v>6746</v>
      </c>
      <c r="AD997" t="s">
        <v>7652</v>
      </c>
      <c r="AE997" t="s">
        <v>8727</v>
      </c>
      <c r="AF997">
        <v>97</v>
      </c>
      <c r="AG997" t="s">
        <v>9275</v>
      </c>
      <c r="AH997" t="s">
        <v>4280</v>
      </c>
      <c r="AI997">
        <v>20</v>
      </c>
      <c r="AJ997">
        <v>3</v>
      </c>
      <c r="AK997">
        <v>0</v>
      </c>
      <c r="AL997">
        <v>73.31999999999999</v>
      </c>
      <c r="AO997" t="s">
        <v>1425</v>
      </c>
      <c r="AP997">
        <v>15236</v>
      </c>
      <c r="AV997">
        <v>1.25</v>
      </c>
      <c r="AW997" t="s">
        <v>72</v>
      </c>
    </row>
    <row r="998" spans="1:49">
      <c r="A998" s="1">
        <f>HYPERLINK("https://cms.ls-nyc.org/matter/dynamic-profile/view/1873320","18-1873320")</f>
        <v>0</v>
      </c>
      <c r="B998" t="s">
        <v>72</v>
      </c>
      <c r="C998" t="s">
        <v>83</v>
      </c>
      <c r="D998" t="s">
        <v>153</v>
      </c>
      <c r="F998" t="s">
        <v>1049</v>
      </c>
      <c r="G998" t="s">
        <v>2121</v>
      </c>
      <c r="H998" t="s">
        <v>3348</v>
      </c>
      <c r="J998" t="s">
        <v>4238</v>
      </c>
      <c r="K998">
        <v>11413</v>
      </c>
      <c r="L998" t="s">
        <v>4275</v>
      </c>
      <c r="M998" t="s">
        <v>4275</v>
      </c>
      <c r="O998" t="s">
        <v>4282</v>
      </c>
      <c r="P998" t="s">
        <v>5166</v>
      </c>
      <c r="Q998" t="s">
        <v>5732</v>
      </c>
      <c r="R998" t="s">
        <v>5751</v>
      </c>
      <c r="T998" t="s">
        <v>4276</v>
      </c>
      <c r="V998" t="s">
        <v>5767</v>
      </c>
      <c r="X998" t="s">
        <v>153</v>
      </c>
      <c r="Y998">
        <v>812</v>
      </c>
      <c r="Z998" t="s">
        <v>5803</v>
      </c>
      <c r="AA998" t="s">
        <v>5804</v>
      </c>
      <c r="AC998" t="s">
        <v>6747</v>
      </c>
      <c r="AD998" t="s">
        <v>7653</v>
      </c>
      <c r="AE998" t="s">
        <v>8728</v>
      </c>
      <c r="AF998">
        <v>2</v>
      </c>
      <c r="AG998" t="s">
        <v>9269</v>
      </c>
      <c r="AH998" t="s">
        <v>9288</v>
      </c>
      <c r="AI998">
        <v>2</v>
      </c>
      <c r="AJ998">
        <v>1</v>
      </c>
      <c r="AK998">
        <v>0</v>
      </c>
      <c r="AL998">
        <v>82.37</v>
      </c>
      <c r="AN998" t="s">
        <v>9294</v>
      </c>
      <c r="AO998" t="s">
        <v>1425</v>
      </c>
      <c r="AP998">
        <v>10000</v>
      </c>
      <c r="AV998">
        <v>1</v>
      </c>
      <c r="AW998" t="s">
        <v>54</v>
      </c>
    </row>
    <row r="999" spans="1:49">
      <c r="A999" s="1">
        <f>HYPERLINK("https://cms.ls-nyc.org/matter/dynamic-profile/view/1899217","19-1899217")</f>
        <v>0</v>
      </c>
      <c r="B999" t="s">
        <v>72</v>
      </c>
      <c r="C999" t="s">
        <v>83</v>
      </c>
      <c r="D999" t="s">
        <v>161</v>
      </c>
      <c r="F999" t="s">
        <v>1050</v>
      </c>
      <c r="G999" t="s">
        <v>2045</v>
      </c>
      <c r="H999" t="s">
        <v>3349</v>
      </c>
      <c r="J999" t="s">
        <v>4222</v>
      </c>
      <c r="K999">
        <v>11434</v>
      </c>
      <c r="L999" t="s">
        <v>4277</v>
      </c>
      <c r="M999" t="s">
        <v>4277</v>
      </c>
      <c r="O999" t="s">
        <v>4281</v>
      </c>
      <c r="P999" t="s">
        <v>5167</v>
      </c>
      <c r="Q999" t="s">
        <v>5731</v>
      </c>
      <c r="R999" t="s">
        <v>5751</v>
      </c>
      <c r="V999" t="s">
        <v>5767</v>
      </c>
      <c r="Y999">
        <v>1300</v>
      </c>
      <c r="Z999" t="s">
        <v>5803</v>
      </c>
      <c r="AA999" t="s">
        <v>5805</v>
      </c>
      <c r="AC999" t="s">
        <v>6748</v>
      </c>
      <c r="AE999" t="s">
        <v>8729</v>
      </c>
      <c r="AF999">
        <v>2</v>
      </c>
      <c r="AI999">
        <v>2</v>
      </c>
      <c r="AJ999">
        <v>1</v>
      </c>
      <c r="AK999">
        <v>0</v>
      </c>
      <c r="AL999">
        <v>83.27</v>
      </c>
      <c r="AO999" t="s">
        <v>1425</v>
      </c>
      <c r="AP999">
        <v>10400</v>
      </c>
      <c r="AV999">
        <v>4.45</v>
      </c>
      <c r="AW999" t="s">
        <v>9560</v>
      </c>
    </row>
    <row r="1000" spans="1:49">
      <c r="A1000" s="1">
        <f>HYPERLINK("https://cms.ls-nyc.org/matter/dynamic-profile/view/1873355","18-1873355")</f>
        <v>0</v>
      </c>
      <c r="B1000" t="s">
        <v>72</v>
      </c>
      <c r="C1000" t="s">
        <v>82</v>
      </c>
      <c r="D1000" t="s">
        <v>153</v>
      </c>
      <c r="E1000" t="s">
        <v>282</v>
      </c>
      <c r="F1000" t="s">
        <v>364</v>
      </c>
      <c r="G1000" t="s">
        <v>1423</v>
      </c>
      <c r="H1000" t="s">
        <v>2542</v>
      </c>
      <c r="J1000" t="s">
        <v>4245</v>
      </c>
      <c r="K1000">
        <v>11418</v>
      </c>
      <c r="L1000" t="s">
        <v>4275</v>
      </c>
      <c r="M1000" t="s">
        <v>4275</v>
      </c>
      <c r="O1000" t="s">
        <v>4282</v>
      </c>
      <c r="P1000" t="s">
        <v>5168</v>
      </c>
      <c r="Q1000" t="s">
        <v>5732</v>
      </c>
      <c r="R1000" t="s">
        <v>5751</v>
      </c>
      <c r="S1000" t="s">
        <v>5758</v>
      </c>
      <c r="T1000" t="s">
        <v>4276</v>
      </c>
      <c r="V1000" t="s">
        <v>5767</v>
      </c>
      <c r="W1000" t="s">
        <v>5772</v>
      </c>
      <c r="X1000" t="s">
        <v>153</v>
      </c>
      <c r="Y1000">
        <v>900</v>
      </c>
      <c r="Z1000" t="s">
        <v>5803</v>
      </c>
      <c r="AA1000" t="s">
        <v>5804</v>
      </c>
      <c r="AB1000" t="s">
        <v>5820</v>
      </c>
      <c r="AC1000" t="s">
        <v>5882</v>
      </c>
      <c r="AD1000" t="s">
        <v>7654</v>
      </c>
      <c r="AE1000" t="s">
        <v>7894</v>
      </c>
      <c r="AF1000">
        <v>1</v>
      </c>
      <c r="AG1000" t="s">
        <v>9269</v>
      </c>
      <c r="AH1000" t="s">
        <v>4280</v>
      </c>
      <c r="AI1000">
        <v>1</v>
      </c>
      <c r="AJ1000">
        <v>2</v>
      </c>
      <c r="AK1000">
        <v>1</v>
      </c>
      <c r="AL1000">
        <v>87.43000000000001</v>
      </c>
      <c r="AN1000" t="s">
        <v>9294</v>
      </c>
      <c r="AO1000" t="s">
        <v>1425</v>
      </c>
      <c r="AP1000">
        <v>18168</v>
      </c>
      <c r="AR1000" t="s">
        <v>9329</v>
      </c>
      <c r="AS1000" t="s">
        <v>9336</v>
      </c>
      <c r="AT1000" t="s">
        <v>9369</v>
      </c>
      <c r="AU1000" t="s">
        <v>9524</v>
      </c>
      <c r="AV1000">
        <v>13.15</v>
      </c>
      <c r="AW1000" t="s">
        <v>54</v>
      </c>
    </row>
    <row r="1001" spans="1:49">
      <c r="A1001" s="1">
        <f>HYPERLINK("https://cms.ls-nyc.org/matter/dynamic-profile/view/1880650","18-1880650")</f>
        <v>0</v>
      </c>
      <c r="B1001" t="s">
        <v>72</v>
      </c>
      <c r="C1001" t="s">
        <v>83</v>
      </c>
      <c r="D1001" t="s">
        <v>227</v>
      </c>
      <c r="F1001" t="s">
        <v>1051</v>
      </c>
      <c r="G1001" t="s">
        <v>2122</v>
      </c>
      <c r="H1001" t="s">
        <v>3350</v>
      </c>
      <c r="I1001">
        <v>14</v>
      </c>
      <c r="J1001" t="s">
        <v>4269</v>
      </c>
      <c r="K1001">
        <v>11101</v>
      </c>
      <c r="L1001" t="s">
        <v>4275</v>
      </c>
      <c r="M1001" t="s">
        <v>4275</v>
      </c>
      <c r="O1001" t="s">
        <v>4283</v>
      </c>
      <c r="P1001" t="s">
        <v>5169</v>
      </c>
      <c r="Q1001" t="s">
        <v>5731</v>
      </c>
      <c r="R1001" t="s">
        <v>5751</v>
      </c>
      <c r="T1001" t="s">
        <v>4276</v>
      </c>
      <c r="V1001" t="s">
        <v>5767</v>
      </c>
      <c r="W1001" t="s">
        <v>5774</v>
      </c>
      <c r="X1001" t="s">
        <v>227</v>
      </c>
      <c r="Y1001">
        <v>2000</v>
      </c>
      <c r="Z1001" t="s">
        <v>5803</v>
      </c>
      <c r="AA1001" t="s">
        <v>5804</v>
      </c>
      <c r="AC1001" t="s">
        <v>6749</v>
      </c>
      <c r="AD1001" t="s">
        <v>7655</v>
      </c>
      <c r="AE1001" t="s">
        <v>8730</v>
      </c>
      <c r="AF1001">
        <v>18</v>
      </c>
      <c r="AG1001" t="s">
        <v>9272</v>
      </c>
      <c r="AH1001" t="s">
        <v>4280</v>
      </c>
      <c r="AI1001">
        <v>5</v>
      </c>
      <c r="AJ1001">
        <v>2</v>
      </c>
      <c r="AK1001">
        <v>3</v>
      </c>
      <c r="AL1001">
        <v>88.38</v>
      </c>
      <c r="AO1001" t="s">
        <v>1425</v>
      </c>
      <c r="AP1001">
        <v>26000</v>
      </c>
      <c r="AR1001" t="s">
        <v>9329</v>
      </c>
      <c r="AS1001" t="s">
        <v>9336</v>
      </c>
      <c r="AT1001" t="s">
        <v>9370</v>
      </c>
      <c r="AU1001" t="s">
        <v>9475</v>
      </c>
      <c r="AV1001">
        <v>3.6</v>
      </c>
      <c r="AW1001" t="s">
        <v>73</v>
      </c>
    </row>
    <row r="1002" spans="1:49">
      <c r="A1002" s="1">
        <f>HYPERLINK("https://cms.ls-nyc.org/matter/dynamic-profile/view/1876773","18-1876773")</f>
        <v>0</v>
      </c>
      <c r="B1002" t="s">
        <v>72</v>
      </c>
      <c r="C1002" t="s">
        <v>83</v>
      </c>
      <c r="D1002" t="s">
        <v>120</v>
      </c>
      <c r="F1002" t="s">
        <v>1052</v>
      </c>
      <c r="G1002" t="s">
        <v>2123</v>
      </c>
      <c r="H1002" t="s">
        <v>3351</v>
      </c>
      <c r="I1002" t="s">
        <v>3841</v>
      </c>
      <c r="J1002" t="s">
        <v>4231</v>
      </c>
      <c r="K1002">
        <v>11419</v>
      </c>
      <c r="L1002" t="s">
        <v>4275</v>
      </c>
      <c r="M1002" t="s">
        <v>4277</v>
      </c>
      <c r="O1002" t="s">
        <v>4282</v>
      </c>
      <c r="P1002" t="s">
        <v>5170</v>
      </c>
      <c r="Q1002" t="s">
        <v>5732</v>
      </c>
      <c r="R1002" t="s">
        <v>5752</v>
      </c>
      <c r="T1002" t="s">
        <v>4276</v>
      </c>
      <c r="V1002" t="s">
        <v>5767</v>
      </c>
      <c r="Y1002">
        <v>1500</v>
      </c>
      <c r="Z1002" t="s">
        <v>5803</v>
      </c>
      <c r="AA1002" t="s">
        <v>5804</v>
      </c>
      <c r="AC1002" t="s">
        <v>6750</v>
      </c>
      <c r="AE1002" t="s">
        <v>8731</v>
      </c>
      <c r="AF1002">
        <v>0</v>
      </c>
      <c r="AG1002" t="s">
        <v>9270</v>
      </c>
      <c r="AH1002" t="s">
        <v>4280</v>
      </c>
      <c r="AI1002">
        <v>2</v>
      </c>
      <c r="AJ1002">
        <v>2</v>
      </c>
      <c r="AK1002">
        <v>2</v>
      </c>
      <c r="AL1002">
        <v>91.63</v>
      </c>
      <c r="AO1002" t="s">
        <v>1425</v>
      </c>
      <c r="AP1002">
        <v>23000</v>
      </c>
      <c r="AV1002">
        <v>1.3</v>
      </c>
      <c r="AW1002" t="s">
        <v>54</v>
      </c>
    </row>
    <row r="1003" spans="1:49">
      <c r="A1003" s="1">
        <f>HYPERLINK("https://cms.ls-nyc.org/matter/dynamic-profile/view/1886546","18-1886546")</f>
        <v>0</v>
      </c>
      <c r="B1003" t="s">
        <v>72</v>
      </c>
      <c r="C1003" t="s">
        <v>82</v>
      </c>
      <c r="D1003" t="s">
        <v>189</v>
      </c>
      <c r="E1003" t="s">
        <v>158</v>
      </c>
      <c r="F1003" t="s">
        <v>412</v>
      </c>
      <c r="G1003" t="s">
        <v>1867</v>
      </c>
      <c r="H1003" t="s">
        <v>3352</v>
      </c>
      <c r="I1003">
        <v>1</v>
      </c>
      <c r="J1003" t="s">
        <v>4258</v>
      </c>
      <c r="K1003">
        <v>11369</v>
      </c>
      <c r="L1003" t="s">
        <v>4275</v>
      </c>
      <c r="M1003" t="s">
        <v>4275</v>
      </c>
      <c r="O1003" t="s">
        <v>4282</v>
      </c>
      <c r="P1003" t="s">
        <v>5171</v>
      </c>
      <c r="Q1003" t="s">
        <v>5732</v>
      </c>
      <c r="R1003" t="s">
        <v>5753</v>
      </c>
      <c r="S1003" t="s">
        <v>5759</v>
      </c>
      <c r="T1003" t="s">
        <v>4276</v>
      </c>
      <c r="V1003" t="s">
        <v>5767</v>
      </c>
      <c r="W1003" t="s">
        <v>5772</v>
      </c>
      <c r="X1003" t="s">
        <v>175</v>
      </c>
      <c r="Y1003">
        <v>1260</v>
      </c>
      <c r="Z1003" t="s">
        <v>5803</v>
      </c>
      <c r="AA1003" t="s">
        <v>5804</v>
      </c>
      <c r="AB1003" t="s">
        <v>5821</v>
      </c>
      <c r="AC1003" t="s">
        <v>6751</v>
      </c>
      <c r="AD1003" t="s">
        <v>7656</v>
      </c>
      <c r="AE1003" t="s">
        <v>8732</v>
      </c>
      <c r="AF1003">
        <v>3</v>
      </c>
      <c r="AG1003" t="s">
        <v>9270</v>
      </c>
      <c r="AH1003" t="s">
        <v>4280</v>
      </c>
      <c r="AI1003">
        <v>4</v>
      </c>
      <c r="AJ1003">
        <v>2</v>
      </c>
      <c r="AK1003">
        <v>0</v>
      </c>
      <c r="AL1003">
        <v>97.20999999999999</v>
      </c>
      <c r="AO1003" t="s">
        <v>9298</v>
      </c>
      <c r="AP1003">
        <v>16000</v>
      </c>
      <c r="AV1003">
        <v>1.2</v>
      </c>
      <c r="AW1003" t="s">
        <v>54</v>
      </c>
    </row>
    <row r="1004" spans="1:49">
      <c r="A1004" s="1">
        <f>HYPERLINK("https://cms.ls-nyc.org/matter/dynamic-profile/view/1878703","18-1878703")</f>
        <v>0</v>
      </c>
      <c r="B1004" t="s">
        <v>72</v>
      </c>
      <c r="C1004" t="s">
        <v>82</v>
      </c>
      <c r="D1004" t="s">
        <v>147</v>
      </c>
      <c r="E1004" t="s">
        <v>207</v>
      </c>
      <c r="F1004" t="s">
        <v>1053</v>
      </c>
      <c r="G1004" t="s">
        <v>1796</v>
      </c>
      <c r="H1004" t="s">
        <v>2507</v>
      </c>
      <c r="I1004">
        <v>1</v>
      </c>
      <c r="J1004" t="s">
        <v>4222</v>
      </c>
      <c r="K1004">
        <v>11433</v>
      </c>
      <c r="L1004" t="s">
        <v>4275</v>
      </c>
      <c r="M1004" t="s">
        <v>4275</v>
      </c>
      <c r="O1004" t="s">
        <v>4281</v>
      </c>
      <c r="P1004" t="s">
        <v>5172</v>
      </c>
      <c r="Q1004" t="s">
        <v>5732</v>
      </c>
      <c r="R1004" t="s">
        <v>5751</v>
      </c>
      <c r="S1004" t="s">
        <v>5758</v>
      </c>
      <c r="T1004" t="s">
        <v>4276</v>
      </c>
      <c r="V1004" t="s">
        <v>5767</v>
      </c>
      <c r="W1004" t="s">
        <v>5771</v>
      </c>
      <c r="X1004" t="s">
        <v>147</v>
      </c>
      <c r="Y1004">
        <v>1750</v>
      </c>
      <c r="Z1004" t="s">
        <v>5803</v>
      </c>
      <c r="AA1004" t="s">
        <v>5804</v>
      </c>
      <c r="AB1004" t="s">
        <v>5822</v>
      </c>
      <c r="AC1004" t="s">
        <v>6752</v>
      </c>
      <c r="AD1004" t="s">
        <v>7657</v>
      </c>
      <c r="AE1004" t="s">
        <v>8733</v>
      </c>
      <c r="AF1004">
        <v>2</v>
      </c>
      <c r="AG1004" t="s">
        <v>9269</v>
      </c>
      <c r="AH1004" t="s">
        <v>4280</v>
      </c>
      <c r="AI1004">
        <v>3</v>
      </c>
      <c r="AJ1004">
        <v>1</v>
      </c>
      <c r="AK1004">
        <v>3</v>
      </c>
      <c r="AL1004">
        <v>97.58</v>
      </c>
      <c r="AO1004" t="s">
        <v>1425</v>
      </c>
      <c r="AP1004">
        <v>24492</v>
      </c>
      <c r="AR1004" t="s">
        <v>9329</v>
      </c>
      <c r="AS1004" t="s">
        <v>5806</v>
      </c>
      <c r="AT1004" t="s">
        <v>9370</v>
      </c>
      <c r="AU1004" t="s">
        <v>9500</v>
      </c>
      <c r="AV1004">
        <v>2.6</v>
      </c>
      <c r="AW1004" t="s">
        <v>73</v>
      </c>
    </row>
    <row r="1005" spans="1:49">
      <c r="A1005" s="1">
        <f>HYPERLINK("https://cms.ls-nyc.org/matter/dynamic-profile/view/1883312","18-1883312")</f>
        <v>0</v>
      </c>
      <c r="B1005" t="s">
        <v>72</v>
      </c>
      <c r="C1005" t="s">
        <v>83</v>
      </c>
      <c r="D1005" t="s">
        <v>145</v>
      </c>
      <c r="F1005" t="s">
        <v>1054</v>
      </c>
      <c r="G1005" t="s">
        <v>1569</v>
      </c>
      <c r="H1005" t="s">
        <v>3353</v>
      </c>
      <c r="J1005" t="s">
        <v>4223</v>
      </c>
      <c r="K1005">
        <v>11423</v>
      </c>
      <c r="L1005" t="s">
        <v>4275</v>
      </c>
      <c r="M1005" t="s">
        <v>4275</v>
      </c>
      <c r="O1005" t="s">
        <v>4282</v>
      </c>
      <c r="P1005" t="s">
        <v>5173</v>
      </c>
      <c r="Q1005" t="s">
        <v>5732</v>
      </c>
      <c r="R1005" t="s">
        <v>5752</v>
      </c>
      <c r="T1005" t="s">
        <v>4276</v>
      </c>
      <c r="V1005" t="s">
        <v>5767</v>
      </c>
      <c r="Y1005">
        <v>1500</v>
      </c>
      <c r="Z1005" t="s">
        <v>5803</v>
      </c>
      <c r="AA1005" t="s">
        <v>5804</v>
      </c>
      <c r="AC1005" t="s">
        <v>6753</v>
      </c>
      <c r="AD1005">
        <v>15382607</v>
      </c>
      <c r="AE1005" t="s">
        <v>8734</v>
      </c>
      <c r="AF1005">
        <v>0</v>
      </c>
      <c r="AG1005" t="s">
        <v>9270</v>
      </c>
      <c r="AH1005" t="s">
        <v>4280</v>
      </c>
      <c r="AI1005">
        <v>7</v>
      </c>
      <c r="AJ1005">
        <v>3</v>
      </c>
      <c r="AK1005">
        <v>2</v>
      </c>
      <c r="AL1005">
        <v>101.97</v>
      </c>
      <c r="AO1005" t="s">
        <v>1425</v>
      </c>
      <c r="AP1005">
        <v>30000</v>
      </c>
      <c r="AV1005">
        <v>1.1</v>
      </c>
      <c r="AW1005" t="s">
        <v>54</v>
      </c>
    </row>
    <row r="1006" spans="1:49">
      <c r="A1006" s="1">
        <f>HYPERLINK("https://cms.ls-nyc.org/matter/dynamic-profile/view/1872644","18-1872644")</f>
        <v>0</v>
      </c>
      <c r="B1006" t="s">
        <v>72</v>
      </c>
      <c r="C1006" t="s">
        <v>82</v>
      </c>
      <c r="D1006" t="s">
        <v>143</v>
      </c>
      <c r="E1006" t="s">
        <v>265</v>
      </c>
      <c r="F1006" t="s">
        <v>1055</v>
      </c>
      <c r="G1006" t="s">
        <v>2124</v>
      </c>
      <c r="H1006" t="s">
        <v>3354</v>
      </c>
      <c r="I1006" t="s">
        <v>4012</v>
      </c>
      <c r="J1006" t="s">
        <v>4241</v>
      </c>
      <c r="K1006">
        <v>11368</v>
      </c>
      <c r="L1006" t="s">
        <v>4275</v>
      </c>
      <c r="M1006" t="s">
        <v>4275</v>
      </c>
      <c r="O1006" t="s">
        <v>4282</v>
      </c>
      <c r="P1006" t="s">
        <v>5174</v>
      </c>
      <c r="Q1006" t="s">
        <v>5731</v>
      </c>
      <c r="R1006" t="s">
        <v>5751</v>
      </c>
      <c r="S1006" t="s">
        <v>5758</v>
      </c>
      <c r="T1006" t="s">
        <v>4276</v>
      </c>
      <c r="V1006" t="s">
        <v>5767</v>
      </c>
      <c r="W1006" t="s">
        <v>5771</v>
      </c>
      <c r="X1006" t="s">
        <v>143</v>
      </c>
      <c r="Y1006">
        <v>1500</v>
      </c>
      <c r="Z1006" t="s">
        <v>5803</v>
      </c>
      <c r="AA1006" t="s">
        <v>5804</v>
      </c>
      <c r="AB1006" t="s">
        <v>5820</v>
      </c>
      <c r="AC1006" t="s">
        <v>6754</v>
      </c>
      <c r="AD1006" t="s">
        <v>4280</v>
      </c>
      <c r="AE1006" t="s">
        <v>8735</v>
      </c>
      <c r="AF1006">
        <v>4</v>
      </c>
      <c r="AG1006" t="s">
        <v>9269</v>
      </c>
      <c r="AH1006" t="s">
        <v>4280</v>
      </c>
      <c r="AI1006">
        <v>1</v>
      </c>
      <c r="AJ1006">
        <v>2</v>
      </c>
      <c r="AK1006">
        <v>2</v>
      </c>
      <c r="AL1006">
        <v>103.59</v>
      </c>
      <c r="AO1006" t="s">
        <v>9298</v>
      </c>
      <c r="AP1006">
        <v>26000</v>
      </c>
      <c r="AR1006" t="s">
        <v>9326</v>
      </c>
      <c r="AS1006" t="s">
        <v>5806</v>
      </c>
      <c r="AT1006" t="s">
        <v>9369</v>
      </c>
      <c r="AU1006" t="s">
        <v>9525</v>
      </c>
      <c r="AV1006">
        <v>9.1</v>
      </c>
      <c r="AW1006" t="s">
        <v>73</v>
      </c>
    </row>
    <row r="1007" spans="1:49">
      <c r="A1007" s="1">
        <f>HYPERLINK("https://cms.ls-nyc.org/matter/dynamic-profile/view/1886697","18-1886697")</f>
        <v>0</v>
      </c>
      <c r="B1007" t="s">
        <v>72</v>
      </c>
      <c r="C1007" t="s">
        <v>83</v>
      </c>
      <c r="D1007" t="s">
        <v>207</v>
      </c>
      <c r="F1007" t="s">
        <v>1056</v>
      </c>
      <c r="G1007" t="s">
        <v>2125</v>
      </c>
      <c r="H1007" t="s">
        <v>3355</v>
      </c>
      <c r="J1007" t="s">
        <v>4222</v>
      </c>
      <c r="K1007">
        <v>11434</v>
      </c>
      <c r="L1007" t="s">
        <v>4275</v>
      </c>
      <c r="M1007" t="s">
        <v>4275</v>
      </c>
      <c r="O1007" t="s">
        <v>4282</v>
      </c>
      <c r="R1007" t="s">
        <v>5752</v>
      </c>
      <c r="T1007" t="s">
        <v>4276</v>
      </c>
      <c r="V1007" t="s">
        <v>5767</v>
      </c>
      <c r="Y1007">
        <v>1550</v>
      </c>
      <c r="Z1007" t="s">
        <v>5803</v>
      </c>
      <c r="AA1007" t="s">
        <v>5805</v>
      </c>
      <c r="AC1007" t="s">
        <v>6755</v>
      </c>
      <c r="AE1007" t="s">
        <v>8736</v>
      </c>
      <c r="AF1007">
        <v>0</v>
      </c>
      <c r="AG1007" t="s">
        <v>9270</v>
      </c>
      <c r="AI1007">
        <v>2</v>
      </c>
      <c r="AJ1007">
        <v>3</v>
      </c>
      <c r="AK1007">
        <v>0</v>
      </c>
      <c r="AL1007">
        <v>110.68</v>
      </c>
      <c r="AO1007" t="s">
        <v>1425</v>
      </c>
      <c r="AP1007">
        <v>23000</v>
      </c>
      <c r="AV1007">
        <v>4</v>
      </c>
      <c r="AW1007" t="s">
        <v>54</v>
      </c>
    </row>
    <row r="1008" spans="1:49">
      <c r="A1008" s="1">
        <f>HYPERLINK("https://cms.ls-nyc.org/matter/dynamic-profile/view/1894406","19-1894406")</f>
        <v>0</v>
      </c>
      <c r="B1008" t="s">
        <v>72</v>
      </c>
      <c r="C1008" t="s">
        <v>83</v>
      </c>
      <c r="D1008" t="s">
        <v>121</v>
      </c>
      <c r="F1008" t="s">
        <v>1057</v>
      </c>
      <c r="G1008" t="s">
        <v>2126</v>
      </c>
      <c r="H1008" t="s">
        <v>3356</v>
      </c>
      <c r="J1008" t="s">
        <v>4222</v>
      </c>
      <c r="K1008">
        <v>11434</v>
      </c>
      <c r="L1008" t="s">
        <v>4275</v>
      </c>
      <c r="M1008" t="s">
        <v>4275</v>
      </c>
      <c r="O1008" t="s">
        <v>4281</v>
      </c>
      <c r="P1008" t="s">
        <v>5175</v>
      </c>
      <c r="Q1008" t="s">
        <v>5731</v>
      </c>
      <c r="R1008" t="s">
        <v>5751</v>
      </c>
      <c r="T1008" t="s">
        <v>4276</v>
      </c>
      <c r="V1008" t="s">
        <v>5767</v>
      </c>
      <c r="W1008" t="s">
        <v>5772</v>
      </c>
      <c r="X1008" t="s">
        <v>121</v>
      </c>
      <c r="Y1008">
        <v>1350</v>
      </c>
      <c r="Z1008" t="s">
        <v>5803</v>
      </c>
      <c r="AA1008" t="s">
        <v>5805</v>
      </c>
      <c r="AC1008" t="s">
        <v>6756</v>
      </c>
      <c r="AE1008" t="s">
        <v>8737</v>
      </c>
      <c r="AF1008">
        <v>12</v>
      </c>
      <c r="AG1008" t="s">
        <v>9270</v>
      </c>
      <c r="AH1008" t="s">
        <v>5806</v>
      </c>
      <c r="AI1008">
        <v>7</v>
      </c>
      <c r="AJ1008">
        <v>1</v>
      </c>
      <c r="AK1008">
        <v>0</v>
      </c>
      <c r="AL1008">
        <v>112.09</v>
      </c>
      <c r="AO1008" t="s">
        <v>1425</v>
      </c>
      <c r="AP1008">
        <v>14000</v>
      </c>
      <c r="AV1008">
        <v>2.9</v>
      </c>
      <c r="AW1008" t="s">
        <v>54</v>
      </c>
    </row>
    <row r="1009" spans="1:49">
      <c r="A1009" s="1">
        <f>HYPERLINK("https://cms.ls-nyc.org/matter/dynamic-profile/view/1900456","19-1900456")</f>
        <v>0</v>
      </c>
      <c r="B1009" t="s">
        <v>72</v>
      </c>
      <c r="C1009" t="s">
        <v>83</v>
      </c>
      <c r="D1009" t="s">
        <v>232</v>
      </c>
      <c r="F1009" t="s">
        <v>967</v>
      </c>
      <c r="G1009" t="s">
        <v>2127</v>
      </c>
      <c r="H1009" t="s">
        <v>3357</v>
      </c>
      <c r="I1009" t="s">
        <v>4118</v>
      </c>
      <c r="J1009" t="s">
        <v>4229</v>
      </c>
      <c r="K1009">
        <v>11367</v>
      </c>
      <c r="L1009" t="s">
        <v>4275</v>
      </c>
      <c r="M1009" t="s">
        <v>4277</v>
      </c>
      <c r="N1009" t="s">
        <v>4278</v>
      </c>
      <c r="O1009" t="s">
        <v>4282</v>
      </c>
      <c r="P1009" t="s">
        <v>5176</v>
      </c>
      <c r="Q1009" t="s">
        <v>5731</v>
      </c>
      <c r="R1009" t="s">
        <v>5751</v>
      </c>
      <c r="T1009" t="s">
        <v>4276</v>
      </c>
      <c r="V1009" t="s">
        <v>5767</v>
      </c>
      <c r="W1009" t="s">
        <v>5772</v>
      </c>
      <c r="Y1009">
        <v>1396.94</v>
      </c>
      <c r="Z1009" t="s">
        <v>5803</v>
      </c>
      <c r="AC1009" t="s">
        <v>6757</v>
      </c>
      <c r="AE1009" t="s">
        <v>8738</v>
      </c>
      <c r="AF1009">
        <v>174</v>
      </c>
      <c r="AG1009" t="s">
        <v>9272</v>
      </c>
      <c r="AI1009">
        <v>6</v>
      </c>
      <c r="AJ1009">
        <v>1</v>
      </c>
      <c r="AK1009">
        <v>0</v>
      </c>
      <c r="AL1009">
        <v>117.12</v>
      </c>
      <c r="AO1009" t="s">
        <v>1425</v>
      </c>
      <c r="AP1009">
        <v>14628</v>
      </c>
      <c r="AV1009">
        <v>3.65</v>
      </c>
      <c r="AW1009" t="s">
        <v>67</v>
      </c>
    </row>
    <row r="1010" spans="1:49">
      <c r="A1010" s="1">
        <f>HYPERLINK("https://cms.ls-nyc.org/matter/dynamic-profile/view/1878076","18-1878076")</f>
        <v>0</v>
      </c>
      <c r="B1010" t="s">
        <v>72</v>
      </c>
      <c r="C1010" t="s">
        <v>82</v>
      </c>
      <c r="D1010" t="s">
        <v>188</v>
      </c>
      <c r="E1010" t="s">
        <v>282</v>
      </c>
      <c r="F1010" t="s">
        <v>1058</v>
      </c>
      <c r="G1010" t="s">
        <v>2128</v>
      </c>
      <c r="H1010" t="s">
        <v>3358</v>
      </c>
      <c r="I1010" t="s">
        <v>4119</v>
      </c>
      <c r="J1010" t="s">
        <v>4244</v>
      </c>
      <c r="K1010">
        <v>11413</v>
      </c>
      <c r="L1010" t="s">
        <v>4275</v>
      </c>
      <c r="M1010" t="s">
        <v>4277</v>
      </c>
      <c r="O1010" t="s">
        <v>4282</v>
      </c>
      <c r="P1010" t="s">
        <v>5177</v>
      </c>
      <c r="Q1010" t="s">
        <v>5732</v>
      </c>
      <c r="R1010" t="s">
        <v>5753</v>
      </c>
      <c r="S1010" t="s">
        <v>5759</v>
      </c>
      <c r="T1010" t="s">
        <v>4276</v>
      </c>
      <c r="V1010" t="s">
        <v>5767</v>
      </c>
      <c r="W1010" t="s">
        <v>5772</v>
      </c>
      <c r="X1010" t="s">
        <v>188</v>
      </c>
      <c r="Y1010">
        <v>600</v>
      </c>
      <c r="Z1010" t="s">
        <v>5803</v>
      </c>
      <c r="AA1010" t="s">
        <v>5804</v>
      </c>
      <c r="AB1010" t="s">
        <v>5821</v>
      </c>
      <c r="AC1010" t="s">
        <v>6758</v>
      </c>
      <c r="AE1010" t="s">
        <v>8739</v>
      </c>
      <c r="AF1010">
        <v>1</v>
      </c>
      <c r="AG1010" t="s">
        <v>9269</v>
      </c>
      <c r="AH1010" t="s">
        <v>4280</v>
      </c>
      <c r="AI1010">
        <v>15</v>
      </c>
      <c r="AJ1010">
        <v>3</v>
      </c>
      <c r="AK1010">
        <v>1</v>
      </c>
      <c r="AL1010">
        <v>117.66</v>
      </c>
      <c r="AO1010" t="s">
        <v>1425</v>
      </c>
      <c r="AP1010">
        <v>29532</v>
      </c>
      <c r="AV1010">
        <v>7.4</v>
      </c>
      <c r="AW1010" t="s">
        <v>74</v>
      </c>
    </row>
    <row r="1011" spans="1:49">
      <c r="A1011" s="1">
        <f>HYPERLINK("https://cms.ls-nyc.org/matter/dynamic-profile/view/1880011","18-1880011")</f>
        <v>0</v>
      </c>
      <c r="B1011" t="s">
        <v>72</v>
      </c>
      <c r="C1011" t="s">
        <v>83</v>
      </c>
      <c r="D1011" t="s">
        <v>184</v>
      </c>
      <c r="F1011" t="s">
        <v>338</v>
      </c>
      <c r="G1011" t="s">
        <v>2129</v>
      </c>
      <c r="H1011" t="s">
        <v>3359</v>
      </c>
      <c r="I1011" t="s">
        <v>4120</v>
      </c>
      <c r="J1011" t="s">
        <v>4222</v>
      </c>
      <c r="K1011">
        <v>11434</v>
      </c>
      <c r="L1011" t="s">
        <v>4275</v>
      </c>
      <c r="M1011" t="s">
        <v>4275</v>
      </c>
      <c r="O1011" t="s">
        <v>4281</v>
      </c>
      <c r="P1011" t="s">
        <v>5178</v>
      </c>
      <c r="Q1011" t="s">
        <v>5732</v>
      </c>
      <c r="R1011" t="s">
        <v>5751</v>
      </c>
      <c r="T1011" t="s">
        <v>4276</v>
      </c>
      <c r="V1011" t="s">
        <v>5767</v>
      </c>
      <c r="W1011" t="s">
        <v>5772</v>
      </c>
      <c r="X1011" t="s">
        <v>184</v>
      </c>
      <c r="Y1011">
        <v>2137</v>
      </c>
      <c r="Z1011" t="s">
        <v>5803</v>
      </c>
      <c r="AA1011" t="s">
        <v>5804</v>
      </c>
      <c r="AC1011" t="s">
        <v>6759</v>
      </c>
      <c r="AD1011" t="s">
        <v>7658</v>
      </c>
      <c r="AE1011" t="s">
        <v>8740</v>
      </c>
      <c r="AF1011">
        <v>293</v>
      </c>
      <c r="AG1011" t="s">
        <v>9272</v>
      </c>
      <c r="AH1011" t="s">
        <v>4280</v>
      </c>
      <c r="AI1011">
        <v>6</v>
      </c>
      <c r="AJ1011">
        <v>2</v>
      </c>
      <c r="AK1011">
        <v>2</v>
      </c>
      <c r="AL1011">
        <v>117.99</v>
      </c>
      <c r="AO1011" t="s">
        <v>1425</v>
      </c>
      <c r="AP1011">
        <v>29616</v>
      </c>
      <c r="AV1011">
        <v>15.85</v>
      </c>
      <c r="AW1011" t="s">
        <v>73</v>
      </c>
    </row>
    <row r="1012" spans="1:49">
      <c r="A1012" s="1">
        <f>HYPERLINK("https://cms.ls-nyc.org/matter/dynamic-profile/view/1898672","19-1898672")</f>
        <v>0</v>
      </c>
      <c r="B1012" t="s">
        <v>72</v>
      </c>
      <c r="C1012" t="s">
        <v>83</v>
      </c>
      <c r="D1012" t="s">
        <v>93</v>
      </c>
      <c r="F1012" t="s">
        <v>796</v>
      </c>
      <c r="G1012" t="s">
        <v>2130</v>
      </c>
      <c r="H1012" t="s">
        <v>3360</v>
      </c>
      <c r="J1012" t="s">
        <v>4222</v>
      </c>
      <c r="K1012">
        <v>11434</v>
      </c>
      <c r="L1012" t="s">
        <v>4275</v>
      </c>
      <c r="M1012" t="s">
        <v>4275</v>
      </c>
      <c r="O1012" t="s">
        <v>4281</v>
      </c>
      <c r="P1012" t="s">
        <v>5179</v>
      </c>
      <c r="Q1012" t="s">
        <v>5732</v>
      </c>
      <c r="R1012" t="s">
        <v>5752</v>
      </c>
      <c r="T1012" t="s">
        <v>4276</v>
      </c>
      <c r="V1012" t="s">
        <v>5767</v>
      </c>
      <c r="X1012" t="s">
        <v>93</v>
      </c>
      <c r="Y1012">
        <v>1050</v>
      </c>
      <c r="Z1012" t="s">
        <v>5803</v>
      </c>
      <c r="AA1012" t="s">
        <v>5804</v>
      </c>
      <c r="AC1012" t="s">
        <v>6760</v>
      </c>
      <c r="AE1012" t="s">
        <v>8741</v>
      </c>
      <c r="AF1012">
        <v>0</v>
      </c>
      <c r="AG1012" t="s">
        <v>9270</v>
      </c>
      <c r="AH1012" t="s">
        <v>4280</v>
      </c>
      <c r="AI1012">
        <v>5</v>
      </c>
      <c r="AJ1012">
        <v>1</v>
      </c>
      <c r="AK1012">
        <v>0</v>
      </c>
      <c r="AL1012">
        <v>118.37</v>
      </c>
      <c r="AO1012" t="s">
        <v>1425</v>
      </c>
      <c r="AP1012">
        <v>14784</v>
      </c>
      <c r="AV1012">
        <v>4.54</v>
      </c>
      <c r="AW1012" t="s">
        <v>54</v>
      </c>
    </row>
    <row r="1013" spans="1:49">
      <c r="A1013" s="1">
        <f>HYPERLINK("https://cms.ls-nyc.org/matter/dynamic-profile/view/1885142","18-1885142")</f>
        <v>0</v>
      </c>
      <c r="B1013" t="s">
        <v>72</v>
      </c>
      <c r="C1013" t="s">
        <v>83</v>
      </c>
      <c r="D1013" t="s">
        <v>221</v>
      </c>
      <c r="F1013" t="s">
        <v>1059</v>
      </c>
      <c r="G1013" t="s">
        <v>2131</v>
      </c>
      <c r="H1013" t="s">
        <v>3361</v>
      </c>
      <c r="I1013" t="s">
        <v>3880</v>
      </c>
      <c r="J1013" t="s">
        <v>4229</v>
      </c>
      <c r="K1013">
        <v>11358</v>
      </c>
      <c r="L1013" t="s">
        <v>4275</v>
      </c>
      <c r="M1013" t="s">
        <v>4275</v>
      </c>
      <c r="O1013" t="s">
        <v>4283</v>
      </c>
      <c r="P1013" t="s">
        <v>5180</v>
      </c>
      <c r="Q1013" t="s">
        <v>5734</v>
      </c>
      <c r="R1013" t="s">
        <v>5751</v>
      </c>
      <c r="T1013" t="s">
        <v>4276</v>
      </c>
      <c r="V1013" t="s">
        <v>5767</v>
      </c>
      <c r="W1013" t="s">
        <v>5772</v>
      </c>
      <c r="X1013" t="s">
        <v>196</v>
      </c>
      <c r="Y1013">
        <v>937</v>
      </c>
      <c r="Z1013" t="s">
        <v>5803</v>
      </c>
      <c r="AA1013" t="s">
        <v>5808</v>
      </c>
      <c r="AC1013" t="s">
        <v>6761</v>
      </c>
      <c r="AE1013" t="s">
        <v>8742</v>
      </c>
      <c r="AF1013">
        <v>20</v>
      </c>
      <c r="AG1013" t="s">
        <v>9272</v>
      </c>
      <c r="AH1013" t="s">
        <v>4280</v>
      </c>
      <c r="AI1013">
        <v>10</v>
      </c>
      <c r="AJ1013">
        <v>1</v>
      </c>
      <c r="AK1013">
        <v>0</v>
      </c>
      <c r="AL1013">
        <v>118.62</v>
      </c>
      <c r="AO1013" t="s">
        <v>1425</v>
      </c>
      <c r="AP1013">
        <v>14400</v>
      </c>
      <c r="AR1013" t="s">
        <v>9329</v>
      </c>
      <c r="AS1013" t="s">
        <v>9348</v>
      </c>
      <c r="AT1013" t="s">
        <v>9370</v>
      </c>
      <c r="AU1013" t="s">
        <v>9471</v>
      </c>
      <c r="AV1013">
        <v>75.75</v>
      </c>
      <c r="AW1013" t="s">
        <v>73</v>
      </c>
    </row>
    <row r="1014" spans="1:49">
      <c r="A1014" s="1">
        <f>HYPERLINK("https://cms.ls-nyc.org/matter/dynamic-profile/view/1883665","18-1883665")</f>
        <v>0</v>
      </c>
      <c r="B1014" t="s">
        <v>72</v>
      </c>
      <c r="C1014" t="s">
        <v>83</v>
      </c>
      <c r="D1014" t="s">
        <v>186</v>
      </c>
      <c r="F1014" t="s">
        <v>1060</v>
      </c>
      <c r="G1014" t="s">
        <v>1610</v>
      </c>
      <c r="H1014" t="s">
        <v>3362</v>
      </c>
      <c r="J1014" t="s">
        <v>4249</v>
      </c>
      <c r="K1014">
        <v>11429</v>
      </c>
      <c r="L1014" t="s">
        <v>4275</v>
      </c>
      <c r="M1014" t="s">
        <v>4275</v>
      </c>
      <c r="O1014" t="s">
        <v>4282</v>
      </c>
      <c r="P1014" t="s">
        <v>5181</v>
      </c>
      <c r="Q1014" t="s">
        <v>5732</v>
      </c>
      <c r="R1014" t="s">
        <v>5753</v>
      </c>
      <c r="T1014" t="s">
        <v>4276</v>
      </c>
      <c r="V1014" t="s">
        <v>5767</v>
      </c>
      <c r="W1014" t="s">
        <v>5773</v>
      </c>
      <c r="X1014" t="s">
        <v>186</v>
      </c>
      <c r="Y1014">
        <v>1780</v>
      </c>
      <c r="Z1014" t="s">
        <v>5803</v>
      </c>
      <c r="AA1014" t="s">
        <v>5804</v>
      </c>
      <c r="AC1014" t="s">
        <v>6762</v>
      </c>
      <c r="AD1014" t="s">
        <v>7659</v>
      </c>
      <c r="AE1014" t="s">
        <v>8743</v>
      </c>
      <c r="AF1014">
        <v>1</v>
      </c>
      <c r="AG1014" t="s">
        <v>9269</v>
      </c>
      <c r="AH1014" t="s">
        <v>4280</v>
      </c>
      <c r="AI1014">
        <v>2</v>
      </c>
      <c r="AJ1014">
        <v>2</v>
      </c>
      <c r="AK1014">
        <v>3</v>
      </c>
      <c r="AL1014">
        <v>118.97</v>
      </c>
      <c r="AO1014" t="s">
        <v>1425</v>
      </c>
      <c r="AP1014">
        <v>35000</v>
      </c>
      <c r="AV1014">
        <v>1.1</v>
      </c>
      <c r="AW1014" t="s">
        <v>73</v>
      </c>
    </row>
    <row r="1015" spans="1:49">
      <c r="A1015" s="1">
        <f>HYPERLINK("https://cms.ls-nyc.org/matter/dynamic-profile/view/1876290","18-1876290")</f>
        <v>0</v>
      </c>
      <c r="B1015" t="s">
        <v>72</v>
      </c>
      <c r="C1015" t="s">
        <v>83</v>
      </c>
      <c r="D1015" t="s">
        <v>194</v>
      </c>
      <c r="F1015" t="s">
        <v>1061</v>
      </c>
      <c r="G1015" t="s">
        <v>2132</v>
      </c>
      <c r="H1015" t="s">
        <v>3363</v>
      </c>
      <c r="I1015" t="s">
        <v>3950</v>
      </c>
      <c r="J1015" t="s">
        <v>4244</v>
      </c>
      <c r="K1015">
        <v>11413</v>
      </c>
      <c r="L1015" t="s">
        <v>4275</v>
      </c>
      <c r="M1015" t="s">
        <v>4277</v>
      </c>
      <c r="O1015" t="s">
        <v>4282</v>
      </c>
      <c r="P1015" t="s">
        <v>5182</v>
      </c>
      <c r="Q1015" t="s">
        <v>5732</v>
      </c>
      <c r="R1015" t="s">
        <v>5753</v>
      </c>
      <c r="T1015" t="s">
        <v>4276</v>
      </c>
      <c r="V1015" t="s">
        <v>5767</v>
      </c>
      <c r="Y1015">
        <v>2000</v>
      </c>
      <c r="Z1015" t="s">
        <v>5803</v>
      </c>
      <c r="AA1015" t="s">
        <v>5804</v>
      </c>
      <c r="AC1015" t="s">
        <v>6763</v>
      </c>
      <c r="AE1015" t="s">
        <v>8744</v>
      </c>
      <c r="AF1015">
        <v>0</v>
      </c>
      <c r="AH1015" t="s">
        <v>4280</v>
      </c>
      <c r="AI1015">
        <v>0</v>
      </c>
      <c r="AJ1015">
        <v>2</v>
      </c>
      <c r="AK1015">
        <v>3</v>
      </c>
      <c r="AL1015">
        <v>121.69</v>
      </c>
      <c r="AO1015" t="s">
        <v>1425</v>
      </c>
      <c r="AP1015">
        <v>35800</v>
      </c>
      <c r="AV1015">
        <v>1.2</v>
      </c>
      <c r="AW1015" t="s">
        <v>54</v>
      </c>
    </row>
    <row r="1016" spans="1:49">
      <c r="A1016" s="1">
        <f>HYPERLINK("https://cms.ls-nyc.org/matter/dynamic-profile/view/1885178","18-1885178")</f>
        <v>0</v>
      </c>
      <c r="B1016" t="s">
        <v>72</v>
      </c>
      <c r="C1016" t="s">
        <v>83</v>
      </c>
      <c r="D1016" t="s">
        <v>221</v>
      </c>
      <c r="F1016" t="s">
        <v>1062</v>
      </c>
      <c r="G1016" t="s">
        <v>2133</v>
      </c>
      <c r="H1016" t="s">
        <v>3364</v>
      </c>
      <c r="J1016" t="s">
        <v>4222</v>
      </c>
      <c r="K1016">
        <v>11433</v>
      </c>
      <c r="L1016" t="s">
        <v>4275</v>
      </c>
      <c r="M1016" t="s">
        <v>4275</v>
      </c>
      <c r="O1016" t="s">
        <v>4282</v>
      </c>
      <c r="P1016" t="s">
        <v>5183</v>
      </c>
      <c r="Q1016" t="s">
        <v>5732</v>
      </c>
      <c r="R1016" t="s">
        <v>5752</v>
      </c>
      <c r="T1016" t="s">
        <v>4276</v>
      </c>
      <c r="V1016" t="s">
        <v>5767</v>
      </c>
      <c r="Y1016">
        <v>1000</v>
      </c>
      <c r="Z1016" t="s">
        <v>5803</v>
      </c>
      <c r="AA1016" t="s">
        <v>5805</v>
      </c>
      <c r="AC1016" t="s">
        <v>6764</v>
      </c>
      <c r="AE1016" t="s">
        <v>8745</v>
      </c>
      <c r="AF1016">
        <v>0</v>
      </c>
      <c r="AG1016" t="s">
        <v>9270</v>
      </c>
      <c r="AH1016" t="s">
        <v>4280</v>
      </c>
      <c r="AI1016">
        <v>2</v>
      </c>
      <c r="AJ1016">
        <v>2</v>
      </c>
      <c r="AK1016">
        <v>2</v>
      </c>
      <c r="AL1016">
        <v>124.3</v>
      </c>
      <c r="AO1016" t="s">
        <v>9320</v>
      </c>
      <c r="AP1016">
        <v>31200</v>
      </c>
      <c r="AV1016">
        <v>0.1</v>
      </c>
      <c r="AW1016" t="s">
        <v>54</v>
      </c>
    </row>
    <row r="1017" spans="1:49">
      <c r="A1017" s="1">
        <f>HYPERLINK("https://cms.ls-nyc.org/matter/dynamic-profile/view/1878122","18-1878122")</f>
        <v>0</v>
      </c>
      <c r="B1017" t="s">
        <v>72</v>
      </c>
      <c r="C1017" t="s">
        <v>83</v>
      </c>
      <c r="D1017" t="s">
        <v>188</v>
      </c>
      <c r="F1017" t="s">
        <v>1063</v>
      </c>
      <c r="G1017" t="s">
        <v>1501</v>
      </c>
      <c r="H1017" t="s">
        <v>3365</v>
      </c>
      <c r="I1017" t="s">
        <v>4121</v>
      </c>
      <c r="J1017" t="s">
        <v>4245</v>
      </c>
      <c r="K1017">
        <v>11418</v>
      </c>
      <c r="L1017" t="s">
        <v>4275</v>
      </c>
      <c r="M1017" t="s">
        <v>4275</v>
      </c>
      <c r="O1017" t="s">
        <v>4282</v>
      </c>
      <c r="P1017" t="s">
        <v>5184</v>
      </c>
      <c r="Q1017" t="s">
        <v>5731</v>
      </c>
      <c r="R1017" t="s">
        <v>5751</v>
      </c>
      <c r="T1017" t="s">
        <v>5765</v>
      </c>
      <c r="V1017" t="s">
        <v>5767</v>
      </c>
      <c r="W1017" t="s">
        <v>5772</v>
      </c>
      <c r="X1017" t="s">
        <v>188</v>
      </c>
      <c r="Y1017">
        <v>1414</v>
      </c>
      <c r="Z1017" t="s">
        <v>5803</v>
      </c>
      <c r="AA1017" t="s">
        <v>5807</v>
      </c>
      <c r="AC1017" t="s">
        <v>6765</v>
      </c>
      <c r="AE1017" t="s">
        <v>8746</v>
      </c>
      <c r="AF1017">
        <v>40</v>
      </c>
      <c r="AG1017" t="s">
        <v>9272</v>
      </c>
      <c r="AH1017" t="s">
        <v>4280</v>
      </c>
      <c r="AI1017">
        <v>6</v>
      </c>
      <c r="AJ1017">
        <v>5</v>
      </c>
      <c r="AK1017">
        <v>0</v>
      </c>
      <c r="AL1017">
        <v>129.16</v>
      </c>
      <c r="AO1017" t="s">
        <v>9298</v>
      </c>
      <c r="AP1017">
        <v>38000</v>
      </c>
      <c r="AR1017" t="s">
        <v>9329</v>
      </c>
      <c r="AS1017" t="s">
        <v>9336</v>
      </c>
      <c r="AT1017" t="s">
        <v>9369</v>
      </c>
      <c r="AU1017" t="s">
        <v>9526</v>
      </c>
      <c r="AV1017">
        <v>16</v>
      </c>
      <c r="AW1017" t="s">
        <v>74</v>
      </c>
    </row>
    <row r="1018" spans="1:49">
      <c r="A1018" s="1">
        <f>HYPERLINK("https://cms.ls-nyc.org/matter/dynamic-profile/view/1888657","19-1888657")</f>
        <v>0</v>
      </c>
      <c r="B1018" t="s">
        <v>72</v>
      </c>
      <c r="C1018" t="s">
        <v>83</v>
      </c>
      <c r="D1018" t="s">
        <v>125</v>
      </c>
      <c r="F1018" t="s">
        <v>562</v>
      </c>
      <c r="G1018" t="s">
        <v>2134</v>
      </c>
      <c r="H1018" t="s">
        <v>3366</v>
      </c>
      <c r="J1018" t="s">
        <v>4222</v>
      </c>
      <c r="K1018">
        <v>11434</v>
      </c>
      <c r="L1018" t="s">
        <v>4275</v>
      </c>
      <c r="M1018" t="s">
        <v>4275</v>
      </c>
      <c r="O1018" t="s">
        <v>4281</v>
      </c>
      <c r="P1018" t="s">
        <v>5185</v>
      </c>
      <c r="Q1018" t="s">
        <v>5732</v>
      </c>
      <c r="R1018" t="s">
        <v>5751</v>
      </c>
      <c r="T1018" t="s">
        <v>4276</v>
      </c>
      <c r="V1018" t="s">
        <v>5767</v>
      </c>
      <c r="W1018" t="s">
        <v>5772</v>
      </c>
      <c r="X1018" t="s">
        <v>125</v>
      </c>
      <c r="Y1018">
        <v>1300</v>
      </c>
      <c r="Z1018" t="s">
        <v>5803</v>
      </c>
      <c r="AA1018" t="s">
        <v>5805</v>
      </c>
      <c r="AC1018" t="s">
        <v>6766</v>
      </c>
      <c r="AE1018" t="s">
        <v>8747</v>
      </c>
      <c r="AF1018">
        <v>2</v>
      </c>
      <c r="AG1018" t="s">
        <v>9269</v>
      </c>
      <c r="AH1018" t="s">
        <v>4280</v>
      </c>
      <c r="AI1018">
        <v>1</v>
      </c>
      <c r="AJ1018">
        <v>2</v>
      </c>
      <c r="AK1018">
        <v>0</v>
      </c>
      <c r="AL1018">
        <v>136.39</v>
      </c>
      <c r="AO1018" t="s">
        <v>1425</v>
      </c>
      <c r="AP1018">
        <v>23064</v>
      </c>
      <c r="AR1018" t="s">
        <v>9329</v>
      </c>
      <c r="AS1018" t="s">
        <v>5806</v>
      </c>
      <c r="AT1018" t="s">
        <v>9370</v>
      </c>
      <c r="AU1018" t="s">
        <v>9424</v>
      </c>
      <c r="AV1018">
        <v>5.3</v>
      </c>
      <c r="AW1018" t="s">
        <v>54</v>
      </c>
    </row>
    <row r="1019" spans="1:49">
      <c r="A1019" s="1">
        <f>HYPERLINK("https://cms.ls-nyc.org/matter/dynamic-profile/view/1894972","19-1894972")</f>
        <v>0</v>
      </c>
      <c r="B1019" t="s">
        <v>72</v>
      </c>
      <c r="C1019" t="s">
        <v>83</v>
      </c>
      <c r="D1019" t="s">
        <v>101</v>
      </c>
      <c r="F1019" t="s">
        <v>1064</v>
      </c>
      <c r="G1019" t="s">
        <v>2135</v>
      </c>
      <c r="H1019" t="s">
        <v>2572</v>
      </c>
      <c r="J1019" t="s">
        <v>4222</v>
      </c>
      <c r="K1019">
        <v>11432</v>
      </c>
      <c r="L1019" t="s">
        <v>4276</v>
      </c>
      <c r="M1019" t="s">
        <v>4276</v>
      </c>
      <c r="O1019" t="s">
        <v>4282</v>
      </c>
      <c r="P1019" t="s">
        <v>5186</v>
      </c>
      <c r="Q1019" t="s">
        <v>5748</v>
      </c>
      <c r="R1019" t="s">
        <v>5751</v>
      </c>
      <c r="T1019" t="s">
        <v>4275</v>
      </c>
      <c r="V1019" t="s">
        <v>5767</v>
      </c>
      <c r="W1019" t="s">
        <v>5772</v>
      </c>
      <c r="X1019" t="s">
        <v>101</v>
      </c>
      <c r="Y1019">
        <v>1405</v>
      </c>
      <c r="Z1019" t="s">
        <v>5803</v>
      </c>
      <c r="AA1019" t="s">
        <v>5807</v>
      </c>
      <c r="AC1019" t="s">
        <v>6767</v>
      </c>
      <c r="AE1019" t="s">
        <v>8748</v>
      </c>
      <c r="AF1019">
        <v>190</v>
      </c>
      <c r="AG1019" t="s">
        <v>9272</v>
      </c>
      <c r="AH1019" t="s">
        <v>4280</v>
      </c>
      <c r="AI1019">
        <v>4</v>
      </c>
      <c r="AJ1019">
        <v>2</v>
      </c>
      <c r="AK1019">
        <v>3</v>
      </c>
      <c r="AL1019">
        <v>139.21</v>
      </c>
      <c r="AO1019" t="s">
        <v>9301</v>
      </c>
      <c r="AP1019">
        <v>42000</v>
      </c>
      <c r="AS1019" t="s">
        <v>5806</v>
      </c>
      <c r="AV1019">
        <v>60.8</v>
      </c>
      <c r="AW1019" t="s">
        <v>49</v>
      </c>
    </row>
    <row r="1020" spans="1:49">
      <c r="A1020" s="1">
        <f>HYPERLINK("https://cms.ls-nyc.org/matter/dynamic-profile/view/1874592","18-1874592")</f>
        <v>0</v>
      </c>
      <c r="B1020" t="s">
        <v>72</v>
      </c>
      <c r="C1020" t="s">
        <v>83</v>
      </c>
      <c r="D1020" t="s">
        <v>103</v>
      </c>
      <c r="F1020" t="s">
        <v>1065</v>
      </c>
      <c r="G1020" t="s">
        <v>2136</v>
      </c>
      <c r="H1020" t="s">
        <v>3367</v>
      </c>
      <c r="J1020" t="s">
        <v>4222</v>
      </c>
      <c r="K1020">
        <v>11433</v>
      </c>
      <c r="L1020" t="s">
        <v>4275</v>
      </c>
      <c r="M1020" t="s">
        <v>4275</v>
      </c>
      <c r="O1020" t="s">
        <v>4281</v>
      </c>
      <c r="P1020" t="s">
        <v>5187</v>
      </c>
      <c r="Q1020" t="s">
        <v>5732</v>
      </c>
      <c r="R1020" t="s">
        <v>5751</v>
      </c>
      <c r="T1020" t="s">
        <v>4276</v>
      </c>
      <c r="V1020" t="s">
        <v>5767</v>
      </c>
      <c r="X1020" t="s">
        <v>103</v>
      </c>
      <c r="Y1020">
        <v>740</v>
      </c>
      <c r="Z1020" t="s">
        <v>5803</v>
      </c>
      <c r="AA1020" t="s">
        <v>5804</v>
      </c>
      <c r="AC1020" t="s">
        <v>6768</v>
      </c>
      <c r="AD1020" t="s">
        <v>7535</v>
      </c>
      <c r="AE1020" t="s">
        <v>8749</v>
      </c>
      <c r="AF1020">
        <v>1</v>
      </c>
      <c r="AG1020" t="s">
        <v>9269</v>
      </c>
      <c r="AH1020" t="s">
        <v>4280</v>
      </c>
      <c r="AI1020">
        <v>2</v>
      </c>
      <c r="AJ1020">
        <v>1</v>
      </c>
      <c r="AK1020">
        <v>3</v>
      </c>
      <c r="AL1020">
        <v>139.44</v>
      </c>
      <c r="AO1020" t="s">
        <v>1425</v>
      </c>
      <c r="AP1020">
        <v>35000</v>
      </c>
      <c r="AV1020">
        <v>9.85</v>
      </c>
      <c r="AW1020" t="s">
        <v>54</v>
      </c>
    </row>
    <row r="1021" spans="1:49">
      <c r="A1021" s="1">
        <f>HYPERLINK("https://cms.ls-nyc.org/matter/dynamic-profile/view/1886703","18-1886703")</f>
        <v>0</v>
      </c>
      <c r="B1021" t="s">
        <v>72</v>
      </c>
      <c r="C1021" t="s">
        <v>82</v>
      </c>
      <c r="D1021" t="s">
        <v>207</v>
      </c>
      <c r="E1021" t="s">
        <v>98</v>
      </c>
      <c r="F1021" t="s">
        <v>567</v>
      </c>
      <c r="G1021" t="s">
        <v>1630</v>
      </c>
      <c r="H1021" t="s">
        <v>2769</v>
      </c>
      <c r="J1021" t="s">
        <v>4222</v>
      </c>
      <c r="K1021">
        <v>11434</v>
      </c>
      <c r="L1021" t="s">
        <v>4275</v>
      </c>
      <c r="M1021" t="s">
        <v>4275</v>
      </c>
      <c r="O1021" t="s">
        <v>4281</v>
      </c>
      <c r="P1021" t="s">
        <v>5188</v>
      </c>
      <c r="Q1021" t="s">
        <v>5732</v>
      </c>
      <c r="R1021" t="s">
        <v>5753</v>
      </c>
      <c r="S1021" t="s">
        <v>5759</v>
      </c>
      <c r="T1021" t="s">
        <v>4275</v>
      </c>
      <c r="V1021" t="s">
        <v>5767</v>
      </c>
      <c r="W1021" t="s">
        <v>5772</v>
      </c>
      <c r="X1021" t="s">
        <v>88</v>
      </c>
      <c r="Y1021">
        <v>1200</v>
      </c>
      <c r="Z1021" t="s">
        <v>5803</v>
      </c>
      <c r="AA1021" t="s">
        <v>5805</v>
      </c>
      <c r="AB1021" t="s">
        <v>5821</v>
      </c>
      <c r="AC1021" t="s">
        <v>6112</v>
      </c>
      <c r="AE1021" t="s">
        <v>8123</v>
      </c>
      <c r="AF1021">
        <v>3</v>
      </c>
      <c r="AG1021" t="s">
        <v>9269</v>
      </c>
      <c r="AH1021" t="s">
        <v>4280</v>
      </c>
      <c r="AI1021">
        <v>6</v>
      </c>
      <c r="AJ1021">
        <v>2</v>
      </c>
      <c r="AK1021">
        <v>2</v>
      </c>
      <c r="AL1021">
        <v>143.43</v>
      </c>
      <c r="AO1021" t="s">
        <v>1425</v>
      </c>
      <c r="AP1021">
        <v>36000</v>
      </c>
      <c r="AV1021">
        <v>4.2</v>
      </c>
      <c r="AW1021" t="s">
        <v>54</v>
      </c>
    </row>
    <row r="1022" spans="1:49">
      <c r="A1022" s="1">
        <f>HYPERLINK("https://cms.ls-nyc.org/matter/dynamic-profile/view/1900670","19-1900670")</f>
        <v>0</v>
      </c>
      <c r="B1022" t="s">
        <v>72</v>
      </c>
      <c r="C1022" t="s">
        <v>83</v>
      </c>
      <c r="D1022" t="s">
        <v>87</v>
      </c>
      <c r="F1022" t="s">
        <v>354</v>
      </c>
      <c r="G1022" t="s">
        <v>2137</v>
      </c>
      <c r="H1022" t="s">
        <v>3368</v>
      </c>
      <c r="J1022" t="s">
        <v>4270</v>
      </c>
      <c r="K1022">
        <v>11411</v>
      </c>
      <c r="L1022" t="s">
        <v>4275</v>
      </c>
      <c r="M1022" t="s">
        <v>4277</v>
      </c>
      <c r="O1022" t="s">
        <v>4283</v>
      </c>
      <c r="P1022" t="s">
        <v>5189</v>
      </c>
      <c r="Q1022" t="s">
        <v>5732</v>
      </c>
      <c r="R1022" t="s">
        <v>5753</v>
      </c>
      <c r="T1022" t="s">
        <v>4276</v>
      </c>
      <c r="V1022" t="s">
        <v>5767</v>
      </c>
      <c r="X1022" t="s">
        <v>87</v>
      </c>
      <c r="Y1022">
        <v>1500</v>
      </c>
      <c r="Z1022" t="s">
        <v>5803</v>
      </c>
      <c r="AC1022" t="s">
        <v>6769</v>
      </c>
      <c r="AE1022" t="s">
        <v>8750</v>
      </c>
      <c r="AF1022">
        <v>0</v>
      </c>
      <c r="AI1022">
        <v>2</v>
      </c>
      <c r="AJ1022">
        <v>5</v>
      </c>
      <c r="AK1022">
        <v>1</v>
      </c>
      <c r="AL1022">
        <v>144.55</v>
      </c>
      <c r="AO1022" t="s">
        <v>1425</v>
      </c>
      <c r="AP1022">
        <v>50000</v>
      </c>
      <c r="AV1022">
        <v>1.1</v>
      </c>
      <c r="AW1022" t="s">
        <v>9547</v>
      </c>
    </row>
    <row r="1023" spans="1:49">
      <c r="A1023" s="1">
        <f>HYPERLINK("https://cms.ls-nyc.org/matter/dynamic-profile/view/1873352","18-1873352")</f>
        <v>0</v>
      </c>
      <c r="B1023" t="s">
        <v>72</v>
      </c>
      <c r="C1023" t="s">
        <v>83</v>
      </c>
      <c r="D1023" t="s">
        <v>153</v>
      </c>
      <c r="F1023" t="s">
        <v>1066</v>
      </c>
      <c r="G1023" t="s">
        <v>2138</v>
      </c>
      <c r="H1023" t="s">
        <v>3369</v>
      </c>
      <c r="J1023" t="s">
        <v>4229</v>
      </c>
      <c r="K1023">
        <v>11355</v>
      </c>
      <c r="L1023" t="s">
        <v>4275</v>
      </c>
      <c r="M1023" t="s">
        <v>4275</v>
      </c>
      <c r="O1023" t="s">
        <v>4282</v>
      </c>
      <c r="P1023" t="s">
        <v>5190</v>
      </c>
      <c r="Q1023" t="s">
        <v>5732</v>
      </c>
      <c r="R1023" t="s">
        <v>5753</v>
      </c>
      <c r="T1023" t="s">
        <v>4276</v>
      </c>
      <c r="V1023" t="s">
        <v>5767</v>
      </c>
      <c r="W1023" t="s">
        <v>5772</v>
      </c>
      <c r="X1023" t="s">
        <v>153</v>
      </c>
      <c r="Y1023">
        <v>1500</v>
      </c>
      <c r="Z1023" t="s">
        <v>5803</v>
      </c>
      <c r="AA1023" t="s">
        <v>5804</v>
      </c>
      <c r="AC1023" t="s">
        <v>6770</v>
      </c>
      <c r="AE1023" t="s">
        <v>8751</v>
      </c>
      <c r="AF1023">
        <v>1</v>
      </c>
      <c r="AG1023" t="s">
        <v>9269</v>
      </c>
      <c r="AH1023" t="s">
        <v>4280</v>
      </c>
      <c r="AI1023">
        <v>3</v>
      </c>
      <c r="AJ1023">
        <v>1</v>
      </c>
      <c r="AK1023">
        <v>1</v>
      </c>
      <c r="AL1023">
        <v>145.81</v>
      </c>
      <c r="AN1023" t="s">
        <v>9294</v>
      </c>
      <c r="AO1023" t="s">
        <v>1425</v>
      </c>
      <c r="AP1023">
        <v>24000</v>
      </c>
      <c r="AV1023">
        <v>1</v>
      </c>
      <c r="AW1023" t="s">
        <v>54</v>
      </c>
    </row>
    <row r="1024" spans="1:49">
      <c r="A1024" s="1">
        <f>HYPERLINK("https://cms.ls-nyc.org/matter/dynamic-profile/view/1893007","19-1893007")</f>
        <v>0</v>
      </c>
      <c r="B1024" t="s">
        <v>72</v>
      </c>
      <c r="C1024" t="s">
        <v>83</v>
      </c>
      <c r="D1024" t="s">
        <v>114</v>
      </c>
      <c r="F1024" t="s">
        <v>410</v>
      </c>
      <c r="G1024" t="s">
        <v>1462</v>
      </c>
      <c r="H1024" t="s">
        <v>3370</v>
      </c>
      <c r="I1024" t="s">
        <v>4044</v>
      </c>
      <c r="J1024" t="s">
        <v>4245</v>
      </c>
      <c r="K1024">
        <v>11418</v>
      </c>
      <c r="L1024" t="s">
        <v>4275</v>
      </c>
      <c r="M1024" t="s">
        <v>4275</v>
      </c>
      <c r="O1024" t="s">
        <v>4282</v>
      </c>
      <c r="P1024" t="s">
        <v>5191</v>
      </c>
      <c r="Q1024" t="s">
        <v>5732</v>
      </c>
      <c r="R1024" t="s">
        <v>5754</v>
      </c>
      <c r="T1024" t="s">
        <v>4276</v>
      </c>
      <c r="V1024" t="s">
        <v>5767</v>
      </c>
      <c r="W1024" t="s">
        <v>5772</v>
      </c>
      <c r="X1024" t="s">
        <v>114</v>
      </c>
      <c r="Y1024">
        <v>1925</v>
      </c>
      <c r="Z1024" t="s">
        <v>5803</v>
      </c>
      <c r="AA1024" t="s">
        <v>5804</v>
      </c>
      <c r="AC1024" t="s">
        <v>6771</v>
      </c>
      <c r="AE1024" t="s">
        <v>8752</v>
      </c>
      <c r="AF1024">
        <v>24</v>
      </c>
      <c r="AG1024" t="s">
        <v>9270</v>
      </c>
      <c r="AH1024" t="s">
        <v>4280</v>
      </c>
      <c r="AI1024">
        <v>11</v>
      </c>
      <c r="AJ1024">
        <v>2</v>
      </c>
      <c r="AK1024">
        <v>3</v>
      </c>
      <c r="AL1024">
        <v>145.84</v>
      </c>
      <c r="AO1024" t="s">
        <v>1425</v>
      </c>
      <c r="AP1024">
        <v>44000</v>
      </c>
      <c r="AV1024">
        <v>3.4</v>
      </c>
      <c r="AW1024" t="s">
        <v>54</v>
      </c>
    </row>
    <row r="1025" spans="1:49">
      <c r="A1025" s="1">
        <f>HYPERLINK("https://cms.ls-nyc.org/matter/dynamic-profile/view/1879971","18-1879971")</f>
        <v>0</v>
      </c>
      <c r="B1025" t="s">
        <v>72</v>
      </c>
      <c r="C1025" t="s">
        <v>82</v>
      </c>
      <c r="D1025" t="s">
        <v>92</v>
      </c>
      <c r="E1025" t="s">
        <v>308</v>
      </c>
      <c r="F1025" t="s">
        <v>1067</v>
      </c>
      <c r="G1025" t="s">
        <v>1492</v>
      </c>
      <c r="H1025" t="s">
        <v>3371</v>
      </c>
      <c r="I1025" t="s">
        <v>3937</v>
      </c>
      <c r="J1025" t="s">
        <v>4234</v>
      </c>
      <c r="K1025">
        <v>11103</v>
      </c>
      <c r="L1025" t="s">
        <v>4275</v>
      </c>
      <c r="M1025" t="s">
        <v>4275</v>
      </c>
      <c r="O1025" t="s">
        <v>4282</v>
      </c>
      <c r="P1025" t="s">
        <v>5192</v>
      </c>
      <c r="Q1025" t="s">
        <v>5732</v>
      </c>
      <c r="R1025" t="s">
        <v>5753</v>
      </c>
      <c r="S1025" t="s">
        <v>5759</v>
      </c>
      <c r="T1025" t="s">
        <v>4276</v>
      </c>
      <c r="V1025" t="s">
        <v>5767</v>
      </c>
      <c r="W1025" t="s">
        <v>5772</v>
      </c>
      <c r="X1025" t="s">
        <v>92</v>
      </c>
      <c r="Y1025">
        <v>1751</v>
      </c>
      <c r="Z1025" t="s">
        <v>5803</v>
      </c>
      <c r="AA1025" t="s">
        <v>5804</v>
      </c>
      <c r="AB1025" t="s">
        <v>5821</v>
      </c>
      <c r="AC1025" t="s">
        <v>6772</v>
      </c>
      <c r="AE1025" t="s">
        <v>8753</v>
      </c>
      <c r="AF1025">
        <v>35</v>
      </c>
      <c r="AG1025" t="s">
        <v>9272</v>
      </c>
      <c r="AH1025" t="s">
        <v>9287</v>
      </c>
      <c r="AI1025">
        <v>26</v>
      </c>
      <c r="AJ1025">
        <v>2</v>
      </c>
      <c r="AK1025">
        <v>0</v>
      </c>
      <c r="AL1025">
        <v>171.03</v>
      </c>
      <c r="AO1025" t="s">
        <v>1425</v>
      </c>
      <c r="AP1025">
        <v>28152</v>
      </c>
      <c r="AV1025">
        <v>2.1</v>
      </c>
      <c r="AW1025" t="s">
        <v>73</v>
      </c>
    </row>
    <row r="1026" spans="1:49">
      <c r="A1026" s="1">
        <f>HYPERLINK("https://cms.ls-nyc.org/matter/dynamic-profile/view/1894244","19-1894244")</f>
        <v>0</v>
      </c>
      <c r="B1026" t="s">
        <v>72</v>
      </c>
      <c r="C1026" t="s">
        <v>83</v>
      </c>
      <c r="D1026" t="s">
        <v>211</v>
      </c>
      <c r="F1026" t="s">
        <v>556</v>
      </c>
      <c r="G1026" t="s">
        <v>2139</v>
      </c>
      <c r="H1026" t="s">
        <v>3372</v>
      </c>
      <c r="I1026" t="s">
        <v>3888</v>
      </c>
      <c r="J1026" t="s">
        <v>4222</v>
      </c>
      <c r="K1026">
        <v>11434</v>
      </c>
      <c r="L1026" t="s">
        <v>4275</v>
      </c>
      <c r="M1026" t="s">
        <v>4275</v>
      </c>
      <c r="O1026" t="s">
        <v>4281</v>
      </c>
      <c r="P1026" t="s">
        <v>5193</v>
      </c>
      <c r="Q1026" t="s">
        <v>5732</v>
      </c>
      <c r="R1026" t="s">
        <v>5751</v>
      </c>
      <c r="T1026" t="s">
        <v>4276</v>
      </c>
      <c r="V1026" t="s">
        <v>5767</v>
      </c>
      <c r="W1026" t="s">
        <v>5772</v>
      </c>
      <c r="X1026" t="s">
        <v>211</v>
      </c>
      <c r="Y1026">
        <v>954</v>
      </c>
      <c r="Z1026" t="s">
        <v>5803</v>
      </c>
      <c r="AA1026" t="s">
        <v>5804</v>
      </c>
      <c r="AC1026" t="s">
        <v>6648</v>
      </c>
      <c r="AE1026" t="s">
        <v>8754</v>
      </c>
      <c r="AF1026">
        <v>0</v>
      </c>
      <c r="AG1026" t="s">
        <v>9273</v>
      </c>
      <c r="AH1026" t="s">
        <v>4280</v>
      </c>
      <c r="AI1026">
        <v>7</v>
      </c>
      <c r="AJ1026">
        <v>2</v>
      </c>
      <c r="AK1026">
        <v>1</v>
      </c>
      <c r="AL1026">
        <v>171.08</v>
      </c>
      <c r="AO1026" t="s">
        <v>1425</v>
      </c>
      <c r="AP1026">
        <v>36492</v>
      </c>
      <c r="AV1026">
        <v>7.85</v>
      </c>
      <c r="AW1026" t="s">
        <v>54</v>
      </c>
    </row>
    <row r="1027" spans="1:49">
      <c r="A1027" s="1">
        <f>HYPERLINK("https://cms.ls-nyc.org/matter/dynamic-profile/view/1872184","18-1872184")</f>
        <v>0</v>
      </c>
      <c r="B1027" t="s">
        <v>72</v>
      </c>
      <c r="C1027" t="s">
        <v>83</v>
      </c>
      <c r="D1027" t="s">
        <v>192</v>
      </c>
      <c r="F1027" t="s">
        <v>862</v>
      </c>
      <c r="G1027" t="s">
        <v>1385</v>
      </c>
      <c r="H1027" t="s">
        <v>3373</v>
      </c>
      <c r="I1027" t="s">
        <v>3934</v>
      </c>
      <c r="J1027" t="s">
        <v>4252</v>
      </c>
      <c r="K1027">
        <v>11374</v>
      </c>
      <c r="L1027" t="s">
        <v>4275</v>
      </c>
      <c r="M1027" t="s">
        <v>4275</v>
      </c>
      <c r="O1027" t="s">
        <v>4282</v>
      </c>
      <c r="P1027" t="s">
        <v>5194</v>
      </c>
      <c r="Q1027" t="s">
        <v>5731</v>
      </c>
      <c r="R1027" t="s">
        <v>5751</v>
      </c>
      <c r="T1027" t="s">
        <v>4276</v>
      </c>
      <c r="V1027" t="s">
        <v>5767</v>
      </c>
      <c r="W1027" t="s">
        <v>5772</v>
      </c>
      <c r="X1027" t="s">
        <v>192</v>
      </c>
      <c r="Y1027">
        <v>1985</v>
      </c>
      <c r="Z1027" t="s">
        <v>5803</v>
      </c>
      <c r="AA1027" t="s">
        <v>5804</v>
      </c>
      <c r="AC1027" t="s">
        <v>6773</v>
      </c>
      <c r="AD1027" t="s">
        <v>7660</v>
      </c>
      <c r="AE1027" t="s">
        <v>8755</v>
      </c>
      <c r="AF1027">
        <v>64</v>
      </c>
      <c r="AG1027" t="s">
        <v>9269</v>
      </c>
      <c r="AH1027" t="s">
        <v>4280</v>
      </c>
      <c r="AI1027">
        <v>1</v>
      </c>
      <c r="AJ1027">
        <v>1</v>
      </c>
      <c r="AK1027">
        <v>1</v>
      </c>
      <c r="AL1027">
        <v>173.51</v>
      </c>
      <c r="AO1027" t="s">
        <v>1425</v>
      </c>
      <c r="AP1027">
        <v>28560</v>
      </c>
      <c r="AV1027">
        <v>21.5</v>
      </c>
      <c r="AW1027" t="s">
        <v>74</v>
      </c>
    </row>
    <row r="1028" spans="1:49">
      <c r="A1028" s="1">
        <f>HYPERLINK("https://cms.ls-nyc.org/matter/dynamic-profile/view/1876119","18-1876119")</f>
        <v>0</v>
      </c>
      <c r="B1028" t="s">
        <v>72</v>
      </c>
      <c r="C1028" t="s">
        <v>83</v>
      </c>
      <c r="D1028" t="s">
        <v>260</v>
      </c>
      <c r="F1028" t="s">
        <v>1068</v>
      </c>
      <c r="G1028" t="s">
        <v>1429</v>
      </c>
      <c r="H1028" t="s">
        <v>3374</v>
      </c>
      <c r="J1028" t="s">
        <v>4250</v>
      </c>
      <c r="K1028">
        <v>11412</v>
      </c>
      <c r="L1028" t="s">
        <v>4275</v>
      </c>
      <c r="M1028" t="s">
        <v>4275</v>
      </c>
      <c r="O1028" t="s">
        <v>4282</v>
      </c>
      <c r="P1028" t="s">
        <v>5195</v>
      </c>
      <c r="Q1028" t="s">
        <v>5732</v>
      </c>
      <c r="R1028" t="s">
        <v>5753</v>
      </c>
      <c r="T1028" t="s">
        <v>4276</v>
      </c>
      <c r="V1028" t="s">
        <v>5767</v>
      </c>
      <c r="W1028" t="s">
        <v>5772</v>
      </c>
      <c r="X1028" t="s">
        <v>260</v>
      </c>
      <c r="Y1028">
        <v>0</v>
      </c>
      <c r="Z1028" t="s">
        <v>5803</v>
      </c>
      <c r="AA1028" t="s">
        <v>5804</v>
      </c>
      <c r="AC1028" t="s">
        <v>6774</v>
      </c>
      <c r="AD1028" t="s">
        <v>4280</v>
      </c>
      <c r="AE1028" t="s">
        <v>8756</v>
      </c>
      <c r="AF1028">
        <v>1</v>
      </c>
      <c r="AG1028" t="s">
        <v>9272</v>
      </c>
      <c r="AH1028" t="s">
        <v>4280</v>
      </c>
      <c r="AI1028">
        <v>8</v>
      </c>
      <c r="AJ1028">
        <v>2</v>
      </c>
      <c r="AK1028">
        <v>2</v>
      </c>
      <c r="AL1028">
        <v>179.28</v>
      </c>
      <c r="AO1028" t="s">
        <v>1425</v>
      </c>
      <c r="AP1028">
        <v>45000</v>
      </c>
      <c r="AV1028">
        <v>1.25</v>
      </c>
      <c r="AW1028" t="s">
        <v>73</v>
      </c>
    </row>
    <row r="1029" spans="1:49">
      <c r="A1029" s="1">
        <f>HYPERLINK("https://cms.ls-nyc.org/matter/dynamic-profile/view/1888640","19-1888640")</f>
        <v>0</v>
      </c>
      <c r="B1029" t="s">
        <v>72</v>
      </c>
      <c r="C1029" t="s">
        <v>83</v>
      </c>
      <c r="D1029" t="s">
        <v>125</v>
      </c>
      <c r="F1029" t="s">
        <v>329</v>
      </c>
      <c r="G1029" t="s">
        <v>1546</v>
      </c>
      <c r="H1029" t="s">
        <v>3375</v>
      </c>
      <c r="I1029" t="s">
        <v>3937</v>
      </c>
      <c r="J1029" t="s">
        <v>4222</v>
      </c>
      <c r="K1029">
        <v>11433</v>
      </c>
      <c r="L1029" t="s">
        <v>4275</v>
      </c>
      <c r="M1029" t="s">
        <v>4275</v>
      </c>
      <c r="O1029" t="s">
        <v>4281</v>
      </c>
      <c r="P1029" t="s">
        <v>5196</v>
      </c>
      <c r="Q1029" t="s">
        <v>5731</v>
      </c>
      <c r="R1029" t="s">
        <v>5751</v>
      </c>
      <c r="T1029" t="s">
        <v>4276</v>
      </c>
      <c r="V1029" t="s">
        <v>5767</v>
      </c>
      <c r="W1029" t="s">
        <v>5772</v>
      </c>
      <c r="X1029" t="s">
        <v>125</v>
      </c>
      <c r="Y1029">
        <v>606</v>
      </c>
      <c r="Z1029" t="s">
        <v>5803</v>
      </c>
      <c r="AA1029" t="s">
        <v>5805</v>
      </c>
      <c r="AC1029" t="s">
        <v>6775</v>
      </c>
      <c r="AE1029" t="s">
        <v>8757</v>
      </c>
      <c r="AF1029">
        <v>56</v>
      </c>
      <c r="AG1029" t="s">
        <v>9271</v>
      </c>
      <c r="AH1029" t="s">
        <v>4280</v>
      </c>
      <c r="AI1029">
        <v>26</v>
      </c>
      <c r="AJ1029">
        <v>1</v>
      </c>
      <c r="AK1029">
        <v>1</v>
      </c>
      <c r="AL1029">
        <v>184.51</v>
      </c>
      <c r="AO1029" t="s">
        <v>1425</v>
      </c>
      <c r="AP1029">
        <v>31200</v>
      </c>
      <c r="AR1029" t="s">
        <v>9329</v>
      </c>
      <c r="AS1029" t="s">
        <v>9336</v>
      </c>
      <c r="AT1029" t="s">
        <v>9369</v>
      </c>
      <c r="AU1029" t="s">
        <v>9407</v>
      </c>
      <c r="AV1029">
        <v>10.5</v>
      </c>
      <c r="AW1029" t="s">
        <v>54</v>
      </c>
    </row>
    <row r="1030" spans="1:49">
      <c r="A1030" s="1">
        <f>HYPERLINK("https://cms.ls-nyc.org/matter/dynamic-profile/view/1893047","19-1893047")</f>
        <v>0</v>
      </c>
      <c r="B1030" t="s">
        <v>72</v>
      </c>
      <c r="C1030" t="s">
        <v>83</v>
      </c>
      <c r="D1030" t="s">
        <v>114</v>
      </c>
      <c r="F1030" t="s">
        <v>1069</v>
      </c>
      <c r="G1030" t="s">
        <v>2140</v>
      </c>
      <c r="H1030" t="s">
        <v>2580</v>
      </c>
      <c r="I1030" t="s">
        <v>3946</v>
      </c>
      <c r="J1030" t="s">
        <v>4240</v>
      </c>
      <c r="K1030">
        <v>11373</v>
      </c>
      <c r="L1030" t="s">
        <v>4275</v>
      </c>
      <c r="M1030" t="s">
        <v>4275</v>
      </c>
      <c r="O1030" t="s">
        <v>4281</v>
      </c>
      <c r="P1030" t="s">
        <v>5197</v>
      </c>
      <c r="Q1030" t="s">
        <v>5731</v>
      </c>
      <c r="R1030" t="s">
        <v>5752</v>
      </c>
      <c r="T1030" t="s">
        <v>4276</v>
      </c>
      <c r="V1030" t="s">
        <v>5767</v>
      </c>
      <c r="X1030" t="s">
        <v>114</v>
      </c>
      <c r="Y1030">
        <v>1800</v>
      </c>
      <c r="Z1030" t="s">
        <v>5803</v>
      </c>
      <c r="AA1030" t="s">
        <v>5804</v>
      </c>
      <c r="AC1030" t="s">
        <v>6776</v>
      </c>
      <c r="AE1030" t="s">
        <v>8758</v>
      </c>
      <c r="AF1030">
        <v>36</v>
      </c>
      <c r="AG1030" t="s">
        <v>9270</v>
      </c>
      <c r="AH1030" t="s">
        <v>4280</v>
      </c>
      <c r="AI1030">
        <v>6</v>
      </c>
      <c r="AJ1030">
        <v>3</v>
      </c>
      <c r="AK1030">
        <v>1</v>
      </c>
      <c r="AL1030">
        <v>185.33</v>
      </c>
      <c r="AO1030" t="s">
        <v>9298</v>
      </c>
      <c r="AP1030">
        <v>47721.44</v>
      </c>
      <c r="AV1030">
        <v>3.8</v>
      </c>
      <c r="AW1030" t="s">
        <v>54</v>
      </c>
    </row>
    <row r="1031" spans="1:49">
      <c r="A1031" s="1">
        <f>HYPERLINK("https://cms.ls-nyc.org/matter/dynamic-profile/view/1884806","18-1884806")</f>
        <v>0</v>
      </c>
      <c r="B1031" t="s">
        <v>72</v>
      </c>
      <c r="C1031" t="s">
        <v>83</v>
      </c>
      <c r="D1031" t="s">
        <v>108</v>
      </c>
      <c r="F1031" t="s">
        <v>1070</v>
      </c>
      <c r="G1031" t="s">
        <v>2141</v>
      </c>
      <c r="H1031" t="s">
        <v>3376</v>
      </c>
      <c r="I1031" t="s">
        <v>3952</v>
      </c>
      <c r="J1031" t="s">
        <v>4222</v>
      </c>
      <c r="K1031">
        <v>11434</v>
      </c>
      <c r="L1031" t="s">
        <v>4275</v>
      </c>
      <c r="M1031" t="s">
        <v>4275</v>
      </c>
      <c r="O1031" t="s">
        <v>4281</v>
      </c>
      <c r="P1031" t="s">
        <v>5198</v>
      </c>
      <c r="Q1031" t="s">
        <v>5732</v>
      </c>
      <c r="R1031" t="s">
        <v>5752</v>
      </c>
      <c r="T1031" t="s">
        <v>4276</v>
      </c>
      <c r="V1031" t="s">
        <v>5767</v>
      </c>
      <c r="W1031" t="s">
        <v>5772</v>
      </c>
      <c r="Y1031">
        <v>1250</v>
      </c>
      <c r="Z1031" t="s">
        <v>5803</v>
      </c>
      <c r="AA1031" t="s">
        <v>5805</v>
      </c>
      <c r="AC1031" t="s">
        <v>6777</v>
      </c>
      <c r="AE1031" t="s">
        <v>8759</v>
      </c>
      <c r="AF1031">
        <v>3</v>
      </c>
      <c r="AG1031" t="s">
        <v>9269</v>
      </c>
      <c r="AI1031">
        <v>8</v>
      </c>
      <c r="AJ1031">
        <v>2</v>
      </c>
      <c r="AK1031">
        <v>3</v>
      </c>
      <c r="AL1031">
        <v>195.42</v>
      </c>
      <c r="AO1031" t="s">
        <v>1425</v>
      </c>
      <c r="AP1031">
        <v>57491.2</v>
      </c>
      <c r="AV1031">
        <v>0.65</v>
      </c>
      <c r="AW1031" t="s">
        <v>60</v>
      </c>
    </row>
    <row r="1032" spans="1:49">
      <c r="A1032" s="1">
        <f>HYPERLINK("https://cms.ls-nyc.org/matter/dynamic-profile/view/1875736","18-1875736")</f>
        <v>0</v>
      </c>
      <c r="B1032" t="s">
        <v>72</v>
      </c>
      <c r="C1032" t="s">
        <v>83</v>
      </c>
      <c r="D1032" t="s">
        <v>151</v>
      </c>
      <c r="F1032" t="s">
        <v>819</v>
      </c>
      <c r="G1032" t="s">
        <v>2142</v>
      </c>
      <c r="H1032" t="s">
        <v>3377</v>
      </c>
      <c r="I1032" t="s">
        <v>3839</v>
      </c>
      <c r="J1032" t="s">
        <v>4243</v>
      </c>
      <c r="K1032">
        <v>11691</v>
      </c>
      <c r="L1032" t="s">
        <v>4275</v>
      </c>
      <c r="M1032" t="s">
        <v>4275</v>
      </c>
      <c r="O1032" t="s">
        <v>4283</v>
      </c>
      <c r="P1032" t="s">
        <v>5199</v>
      </c>
      <c r="Q1032" t="s">
        <v>5732</v>
      </c>
      <c r="R1032" t="s">
        <v>5753</v>
      </c>
      <c r="T1032" t="s">
        <v>4276</v>
      </c>
      <c r="V1032" t="s">
        <v>5767</v>
      </c>
      <c r="W1032" t="s">
        <v>5772</v>
      </c>
      <c r="X1032" t="s">
        <v>121</v>
      </c>
      <c r="Y1032">
        <v>1500</v>
      </c>
      <c r="Z1032" t="s">
        <v>5803</v>
      </c>
      <c r="AA1032" t="s">
        <v>5804</v>
      </c>
      <c r="AC1032" t="s">
        <v>6778</v>
      </c>
      <c r="AD1032" t="s">
        <v>7661</v>
      </c>
      <c r="AE1032" t="s">
        <v>8760</v>
      </c>
      <c r="AF1032">
        <v>2</v>
      </c>
      <c r="AG1032" t="s">
        <v>9269</v>
      </c>
      <c r="AH1032" t="s">
        <v>4280</v>
      </c>
      <c r="AI1032">
        <v>3</v>
      </c>
      <c r="AJ1032">
        <v>1</v>
      </c>
      <c r="AK1032">
        <v>2</v>
      </c>
      <c r="AL1032">
        <v>216.55</v>
      </c>
      <c r="AM1032" t="s">
        <v>225</v>
      </c>
      <c r="AN1032" t="s">
        <v>9293</v>
      </c>
      <c r="AO1032" t="s">
        <v>1425</v>
      </c>
      <c r="AP1032">
        <v>45000</v>
      </c>
      <c r="AV1032">
        <v>1.15</v>
      </c>
      <c r="AW1032" t="s">
        <v>74</v>
      </c>
    </row>
    <row r="1033" spans="1:49">
      <c r="A1033" s="1">
        <f>HYPERLINK("https://cms.ls-nyc.org/matter/dynamic-profile/view/1879906","18-1879906")</f>
        <v>0</v>
      </c>
      <c r="B1033" t="s">
        <v>72</v>
      </c>
      <c r="C1033" t="s">
        <v>83</v>
      </c>
      <c r="D1033" t="s">
        <v>92</v>
      </c>
      <c r="F1033" t="s">
        <v>1071</v>
      </c>
      <c r="G1033" t="s">
        <v>1848</v>
      </c>
      <c r="H1033" t="s">
        <v>3378</v>
      </c>
      <c r="I1033" t="s">
        <v>3870</v>
      </c>
      <c r="J1033" t="s">
        <v>4268</v>
      </c>
      <c r="K1033">
        <v>11378</v>
      </c>
      <c r="L1033" t="s">
        <v>4275</v>
      </c>
      <c r="M1033" t="s">
        <v>4275</v>
      </c>
      <c r="O1033" t="s">
        <v>4282</v>
      </c>
      <c r="P1033" t="s">
        <v>5200</v>
      </c>
      <c r="Q1033" t="s">
        <v>5732</v>
      </c>
      <c r="R1033" t="s">
        <v>5751</v>
      </c>
      <c r="T1033" t="s">
        <v>4276</v>
      </c>
      <c r="V1033" t="s">
        <v>5767</v>
      </c>
      <c r="W1033" t="s">
        <v>5772</v>
      </c>
      <c r="X1033" t="s">
        <v>92</v>
      </c>
      <c r="Y1033">
        <v>2000</v>
      </c>
      <c r="Z1033" t="s">
        <v>5803</v>
      </c>
      <c r="AA1033" t="s">
        <v>5804</v>
      </c>
      <c r="AC1033" t="s">
        <v>6779</v>
      </c>
      <c r="AE1033" t="s">
        <v>8761</v>
      </c>
      <c r="AF1033">
        <v>3</v>
      </c>
      <c r="AG1033" t="s">
        <v>9269</v>
      </c>
      <c r="AH1033" t="s">
        <v>4280</v>
      </c>
      <c r="AI1033">
        <v>6</v>
      </c>
      <c r="AJ1033">
        <v>2</v>
      </c>
      <c r="AK1033">
        <v>0</v>
      </c>
      <c r="AL1033">
        <v>217.19</v>
      </c>
      <c r="AM1033" t="s">
        <v>138</v>
      </c>
      <c r="AN1033" t="s">
        <v>9293</v>
      </c>
      <c r="AO1033" t="s">
        <v>1425</v>
      </c>
      <c r="AP1033">
        <v>35750</v>
      </c>
      <c r="AV1033">
        <v>31.6</v>
      </c>
      <c r="AW1033" t="s">
        <v>54</v>
      </c>
    </row>
    <row r="1034" spans="1:49">
      <c r="A1034" s="1">
        <f>HYPERLINK("https://cms.ls-nyc.org/matter/dynamic-profile/view/1892072","19-1892072")</f>
        <v>0</v>
      </c>
      <c r="B1034" t="s">
        <v>72</v>
      </c>
      <c r="C1034" t="s">
        <v>83</v>
      </c>
      <c r="D1034" t="s">
        <v>89</v>
      </c>
      <c r="F1034" t="s">
        <v>918</v>
      </c>
      <c r="G1034" t="s">
        <v>337</v>
      </c>
      <c r="H1034" t="s">
        <v>3379</v>
      </c>
      <c r="I1034" t="s">
        <v>3955</v>
      </c>
      <c r="J1034" t="s">
        <v>4222</v>
      </c>
      <c r="K1034">
        <v>11434</v>
      </c>
      <c r="L1034" t="s">
        <v>4275</v>
      </c>
      <c r="M1034" t="s">
        <v>4275</v>
      </c>
      <c r="O1034" t="s">
        <v>4281</v>
      </c>
      <c r="P1034" t="s">
        <v>5201</v>
      </c>
      <c r="Q1034" t="s">
        <v>5731</v>
      </c>
      <c r="R1034" t="s">
        <v>5752</v>
      </c>
      <c r="T1034" t="s">
        <v>4276</v>
      </c>
      <c r="V1034" t="s">
        <v>5767</v>
      </c>
      <c r="Y1034">
        <v>895.14</v>
      </c>
      <c r="Z1034" t="s">
        <v>5803</v>
      </c>
      <c r="AA1034" t="s">
        <v>5805</v>
      </c>
      <c r="AC1034" t="s">
        <v>6780</v>
      </c>
      <c r="AE1034" t="s">
        <v>8762</v>
      </c>
      <c r="AF1034">
        <v>0</v>
      </c>
      <c r="AG1034" t="s">
        <v>9273</v>
      </c>
      <c r="AH1034" t="s">
        <v>4280</v>
      </c>
      <c r="AI1034">
        <v>37</v>
      </c>
      <c r="AJ1034">
        <v>1</v>
      </c>
      <c r="AK1034">
        <v>0</v>
      </c>
      <c r="AL1034">
        <v>280.22</v>
      </c>
      <c r="AO1034" t="s">
        <v>1425</v>
      </c>
      <c r="AP1034">
        <v>35000</v>
      </c>
      <c r="AR1034" t="s">
        <v>9329</v>
      </c>
      <c r="AS1034" t="s">
        <v>9336</v>
      </c>
      <c r="AT1034" t="s">
        <v>9369</v>
      </c>
      <c r="AU1034" t="s">
        <v>9507</v>
      </c>
      <c r="AV1034">
        <v>10.6</v>
      </c>
      <c r="AW1034" t="s">
        <v>54</v>
      </c>
    </row>
    <row r="1035" spans="1:49">
      <c r="A1035" s="1">
        <f>HYPERLINK("https://cms.ls-nyc.org/matter/dynamic-profile/view/1873760","18-1873760")</f>
        <v>0</v>
      </c>
      <c r="B1035" t="s">
        <v>72</v>
      </c>
      <c r="C1035" t="s">
        <v>82</v>
      </c>
      <c r="D1035" t="s">
        <v>112</v>
      </c>
      <c r="E1035" t="s">
        <v>303</v>
      </c>
      <c r="F1035" t="s">
        <v>649</v>
      </c>
      <c r="G1035" t="s">
        <v>833</v>
      </c>
      <c r="H1035" t="s">
        <v>3380</v>
      </c>
      <c r="I1035" t="s">
        <v>3886</v>
      </c>
      <c r="J1035" t="s">
        <v>4222</v>
      </c>
      <c r="K1035">
        <v>11432</v>
      </c>
      <c r="L1035" t="s">
        <v>4275</v>
      </c>
      <c r="M1035" t="s">
        <v>4275</v>
      </c>
      <c r="O1035" t="s">
        <v>4282</v>
      </c>
      <c r="P1035" t="s">
        <v>5202</v>
      </c>
      <c r="Q1035" t="s">
        <v>5731</v>
      </c>
      <c r="R1035" t="s">
        <v>5751</v>
      </c>
      <c r="S1035" t="s">
        <v>5758</v>
      </c>
      <c r="T1035" t="s">
        <v>4276</v>
      </c>
      <c r="V1035" t="s">
        <v>5767</v>
      </c>
      <c r="Y1035">
        <v>1250</v>
      </c>
      <c r="Z1035" t="s">
        <v>5803</v>
      </c>
      <c r="AA1035" t="s">
        <v>5804</v>
      </c>
      <c r="AB1035" t="s">
        <v>5820</v>
      </c>
      <c r="AC1035" t="s">
        <v>6781</v>
      </c>
      <c r="AD1035" t="s">
        <v>7662</v>
      </c>
      <c r="AE1035" t="s">
        <v>8763</v>
      </c>
      <c r="AF1035">
        <v>20</v>
      </c>
      <c r="AG1035" t="s">
        <v>9269</v>
      </c>
      <c r="AH1035" t="s">
        <v>4280</v>
      </c>
      <c r="AI1035">
        <v>3</v>
      </c>
      <c r="AJ1035">
        <v>2</v>
      </c>
      <c r="AK1035">
        <v>2</v>
      </c>
      <c r="AL1035">
        <v>346.61</v>
      </c>
      <c r="AN1035" t="s">
        <v>9294</v>
      </c>
      <c r="AO1035" t="s">
        <v>1425</v>
      </c>
      <c r="AP1035">
        <v>87000</v>
      </c>
      <c r="AR1035" t="s">
        <v>9328</v>
      </c>
      <c r="AS1035" t="s">
        <v>9336</v>
      </c>
      <c r="AT1035" t="s">
        <v>9369</v>
      </c>
      <c r="AU1035" t="s">
        <v>9527</v>
      </c>
      <c r="AV1035">
        <v>11.4</v>
      </c>
      <c r="AW1035" t="s">
        <v>54</v>
      </c>
    </row>
    <row r="1036" spans="1:49">
      <c r="A1036" s="1">
        <f>HYPERLINK("https://cms.ls-nyc.org/matter/dynamic-profile/view/1874652","18-1874652")</f>
        <v>0</v>
      </c>
      <c r="B1036" t="s">
        <v>72</v>
      </c>
      <c r="C1036" t="s">
        <v>83</v>
      </c>
      <c r="D1036" t="s">
        <v>103</v>
      </c>
      <c r="F1036" t="s">
        <v>329</v>
      </c>
      <c r="G1036" t="s">
        <v>1053</v>
      </c>
      <c r="H1036" t="s">
        <v>3381</v>
      </c>
      <c r="I1036" t="s">
        <v>3870</v>
      </c>
      <c r="J1036" t="s">
        <v>4249</v>
      </c>
      <c r="K1036">
        <v>11429</v>
      </c>
      <c r="L1036" t="s">
        <v>4275</v>
      </c>
      <c r="M1036" t="s">
        <v>4275</v>
      </c>
      <c r="O1036" t="s">
        <v>4282</v>
      </c>
      <c r="P1036" t="s">
        <v>5203</v>
      </c>
      <c r="Q1036" t="s">
        <v>5734</v>
      </c>
      <c r="R1036" t="s">
        <v>5753</v>
      </c>
      <c r="T1036" t="s">
        <v>4276</v>
      </c>
      <c r="V1036" t="s">
        <v>5767</v>
      </c>
      <c r="W1036" t="s">
        <v>5772</v>
      </c>
      <c r="X1036" t="s">
        <v>103</v>
      </c>
      <c r="Y1036">
        <v>800</v>
      </c>
      <c r="Z1036" t="s">
        <v>5803</v>
      </c>
      <c r="AA1036" t="s">
        <v>5804</v>
      </c>
      <c r="AC1036" t="s">
        <v>6782</v>
      </c>
      <c r="AD1036" t="s">
        <v>4280</v>
      </c>
      <c r="AE1036" t="s">
        <v>8764</v>
      </c>
      <c r="AF1036">
        <v>2</v>
      </c>
      <c r="AG1036" t="s">
        <v>9269</v>
      </c>
      <c r="AH1036" t="s">
        <v>4280</v>
      </c>
      <c r="AI1036">
        <v>1</v>
      </c>
      <c r="AJ1036">
        <v>1</v>
      </c>
      <c r="AK1036">
        <v>2</v>
      </c>
      <c r="AL1036">
        <v>1790.18</v>
      </c>
      <c r="AO1036" t="s">
        <v>1425</v>
      </c>
      <c r="AP1036">
        <v>372000</v>
      </c>
      <c r="AV1036">
        <v>0.2</v>
      </c>
      <c r="AW1036" t="s">
        <v>73</v>
      </c>
    </row>
    <row r="1037" spans="1:49">
      <c r="A1037" s="1">
        <f>HYPERLINK("https://cms.ls-nyc.org/matter/dynamic-profile/view/1882217","18-1882217")</f>
        <v>0</v>
      </c>
      <c r="B1037" t="s">
        <v>73</v>
      </c>
      <c r="C1037" t="s">
        <v>82</v>
      </c>
      <c r="D1037" t="s">
        <v>130</v>
      </c>
      <c r="E1037" t="s">
        <v>253</v>
      </c>
      <c r="F1037" t="s">
        <v>1072</v>
      </c>
      <c r="G1037" t="s">
        <v>2143</v>
      </c>
      <c r="H1037" t="s">
        <v>3382</v>
      </c>
      <c r="I1037" t="s">
        <v>3858</v>
      </c>
      <c r="J1037" t="s">
        <v>4246</v>
      </c>
      <c r="K1037">
        <v>11694</v>
      </c>
      <c r="L1037" t="s">
        <v>4276</v>
      </c>
      <c r="M1037" t="s">
        <v>4275</v>
      </c>
      <c r="O1037" t="s">
        <v>4282</v>
      </c>
      <c r="P1037" t="s">
        <v>5204</v>
      </c>
      <c r="Q1037" t="s">
        <v>5733</v>
      </c>
      <c r="R1037" t="s">
        <v>5753</v>
      </c>
      <c r="S1037" t="s">
        <v>5759</v>
      </c>
      <c r="T1037" t="s">
        <v>4276</v>
      </c>
      <c r="V1037" t="s">
        <v>5767</v>
      </c>
      <c r="W1037" t="s">
        <v>5772</v>
      </c>
      <c r="Y1037">
        <v>1450</v>
      </c>
      <c r="Z1037" t="s">
        <v>5803</v>
      </c>
      <c r="AA1037" t="s">
        <v>5804</v>
      </c>
      <c r="AB1037" t="s">
        <v>5821</v>
      </c>
      <c r="AC1037" t="s">
        <v>6783</v>
      </c>
      <c r="AE1037" t="s">
        <v>8765</v>
      </c>
      <c r="AF1037">
        <v>4</v>
      </c>
      <c r="AG1037" t="s">
        <v>9269</v>
      </c>
      <c r="AH1037" t="s">
        <v>4280</v>
      </c>
      <c r="AI1037">
        <v>-1</v>
      </c>
      <c r="AJ1037">
        <v>2</v>
      </c>
      <c r="AK1037">
        <v>2</v>
      </c>
      <c r="AL1037">
        <v>0</v>
      </c>
      <c r="AO1037" t="s">
        <v>1425</v>
      </c>
      <c r="AP1037">
        <v>0</v>
      </c>
      <c r="AV1037">
        <v>0.4</v>
      </c>
      <c r="AW1037" t="s">
        <v>73</v>
      </c>
    </row>
    <row r="1038" spans="1:49">
      <c r="A1038" s="1">
        <f>HYPERLINK("https://cms.ls-nyc.org/matter/dynamic-profile/view/1873909","18-1873909")</f>
        <v>0</v>
      </c>
      <c r="B1038" t="s">
        <v>73</v>
      </c>
      <c r="C1038" t="s">
        <v>82</v>
      </c>
      <c r="D1038" t="s">
        <v>131</v>
      </c>
      <c r="E1038" t="s">
        <v>309</v>
      </c>
      <c r="F1038" t="s">
        <v>1073</v>
      </c>
      <c r="G1038" t="s">
        <v>2144</v>
      </c>
      <c r="H1038" t="s">
        <v>3383</v>
      </c>
      <c r="I1038" t="s">
        <v>3985</v>
      </c>
      <c r="J1038" t="s">
        <v>4259</v>
      </c>
      <c r="K1038">
        <v>11693</v>
      </c>
      <c r="L1038" t="s">
        <v>4275</v>
      </c>
      <c r="M1038" t="s">
        <v>4275</v>
      </c>
      <c r="O1038" t="s">
        <v>4283</v>
      </c>
      <c r="P1038" t="s">
        <v>5205</v>
      </c>
      <c r="Q1038" t="s">
        <v>5733</v>
      </c>
      <c r="R1038" t="s">
        <v>5753</v>
      </c>
      <c r="S1038" t="s">
        <v>5759</v>
      </c>
      <c r="T1038" t="s">
        <v>4276</v>
      </c>
      <c r="V1038" t="s">
        <v>5767</v>
      </c>
      <c r="W1038" t="s">
        <v>5772</v>
      </c>
      <c r="X1038" t="s">
        <v>5781</v>
      </c>
      <c r="Y1038">
        <v>1515</v>
      </c>
      <c r="Z1038" t="s">
        <v>5803</v>
      </c>
      <c r="AA1038" t="s">
        <v>5804</v>
      </c>
      <c r="AB1038" t="s">
        <v>5821</v>
      </c>
      <c r="AC1038" t="s">
        <v>6315</v>
      </c>
      <c r="AD1038" t="s">
        <v>7663</v>
      </c>
      <c r="AE1038" t="s">
        <v>8766</v>
      </c>
      <c r="AF1038">
        <v>2</v>
      </c>
      <c r="AG1038" t="s">
        <v>9269</v>
      </c>
      <c r="AH1038" t="s">
        <v>9284</v>
      </c>
      <c r="AI1038">
        <v>3</v>
      </c>
      <c r="AJ1038">
        <v>1</v>
      </c>
      <c r="AK1038">
        <v>2</v>
      </c>
      <c r="AL1038">
        <v>0</v>
      </c>
      <c r="AO1038" t="s">
        <v>1425</v>
      </c>
      <c r="AP1038">
        <v>0</v>
      </c>
      <c r="AV1038">
        <v>1.85</v>
      </c>
      <c r="AW1038" t="s">
        <v>73</v>
      </c>
    </row>
    <row r="1039" spans="1:49">
      <c r="A1039" s="1">
        <f>HYPERLINK("https://cms.ls-nyc.org/matter/dynamic-profile/view/1875615","18-1875615")</f>
        <v>0</v>
      </c>
      <c r="B1039" t="s">
        <v>73</v>
      </c>
      <c r="C1039" t="s">
        <v>82</v>
      </c>
      <c r="D1039" t="s">
        <v>122</v>
      </c>
      <c r="E1039" t="s">
        <v>290</v>
      </c>
      <c r="F1039" t="s">
        <v>450</v>
      </c>
      <c r="G1039" t="s">
        <v>1486</v>
      </c>
      <c r="H1039" t="s">
        <v>3384</v>
      </c>
      <c r="I1039" t="s">
        <v>3941</v>
      </c>
      <c r="J1039" t="s">
        <v>4231</v>
      </c>
      <c r="K1039">
        <v>11419</v>
      </c>
      <c r="L1039" t="s">
        <v>4275</v>
      </c>
      <c r="M1039" t="s">
        <v>4275</v>
      </c>
      <c r="O1039" t="s">
        <v>4282</v>
      </c>
      <c r="P1039" t="s">
        <v>5206</v>
      </c>
      <c r="Q1039" t="s">
        <v>5732</v>
      </c>
      <c r="R1039" t="s">
        <v>5753</v>
      </c>
      <c r="S1039" t="s">
        <v>5759</v>
      </c>
      <c r="T1039" t="s">
        <v>4276</v>
      </c>
      <c r="V1039" t="s">
        <v>5767</v>
      </c>
      <c r="W1039" t="s">
        <v>5774</v>
      </c>
      <c r="X1039" t="s">
        <v>290</v>
      </c>
      <c r="Y1039">
        <v>1500</v>
      </c>
      <c r="Z1039" t="s">
        <v>5803</v>
      </c>
      <c r="AA1039" t="s">
        <v>5804</v>
      </c>
      <c r="AB1039" t="s">
        <v>5821</v>
      </c>
      <c r="AC1039" t="s">
        <v>6784</v>
      </c>
      <c r="AD1039" t="s">
        <v>7664</v>
      </c>
      <c r="AE1039" t="s">
        <v>8767</v>
      </c>
      <c r="AF1039">
        <v>3</v>
      </c>
      <c r="AG1039" t="s">
        <v>9269</v>
      </c>
      <c r="AH1039" t="s">
        <v>9282</v>
      </c>
      <c r="AI1039">
        <v>1</v>
      </c>
      <c r="AJ1039">
        <v>1</v>
      </c>
      <c r="AK1039">
        <v>2</v>
      </c>
      <c r="AL1039">
        <v>0</v>
      </c>
      <c r="AO1039" t="s">
        <v>1425</v>
      </c>
      <c r="AP1039">
        <v>0</v>
      </c>
      <c r="AV1039">
        <v>1.25</v>
      </c>
      <c r="AW1039" t="s">
        <v>73</v>
      </c>
    </row>
    <row r="1040" spans="1:49">
      <c r="A1040" s="1">
        <f>HYPERLINK("https://cms.ls-nyc.org/matter/dynamic-profile/view/1875022","18-1875022")</f>
        <v>0</v>
      </c>
      <c r="B1040" t="s">
        <v>73</v>
      </c>
      <c r="C1040" t="s">
        <v>82</v>
      </c>
      <c r="D1040" t="s">
        <v>118</v>
      </c>
      <c r="E1040" t="s">
        <v>118</v>
      </c>
      <c r="F1040" t="s">
        <v>610</v>
      </c>
      <c r="G1040" t="s">
        <v>2145</v>
      </c>
      <c r="H1040" t="s">
        <v>3385</v>
      </c>
      <c r="I1040" t="s">
        <v>3985</v>
      </c>
      <c r="J1040" t="s">
        <v>4268</v>
      </c>
      <c r="K1040">
        <v>11378</v>
      </c>
      <c r="L1040" t="s">
        <v>4275</v>
      </c>
      <c r="M1040" t="s">
        <v>4275</v>
      </c>
      <c r="O1040" t="s">
        <v>4283</v>
      </c>
      <c r="P1040" t="s">
        <v>5207</v>
      </c>
      <c r="Q1040" t="s">
        <v>5733</v>
      </c>
      <c r="R1040" t="s">
        <v>5753</v>
      </c>
      <c r="S1040" t="s">
        <v>5759</v>
      </c>
      <c r="T1040" t="s">
        <v>4276</v>
      </c>
      <c r="V1040" t="s">
        <v>5767</v>
      </c>
      <c r="W1040" t="s">
        <v>5772</v>
      </c>
      <c r="X1040" t="s">
        <v>118</v>
      </c>
      <c r="Y1040">
        <v>1850</v>
      </c>
      <c r="Z1040" t="s">
        <v>5803</v>
      </c>
      <c r="AA1040" t="s">
        <v>5804</v>
      </c>
      <c r="AB1040" t="s">
        <v>5821</v>
      </c>
      <c r="AC1040" t="s">
        <v>6785</v>
      </c>
      <c r="AD1040" t="s">
        <v>7665</v>
      </c>
      <c r="AE1040" t="s">
        <v>7289</v>
      </c>
      <c r="AF1040">
        <v>3</v>
      </c>
      <c r="AG1040" t="s">
        <v>9269</v>
      </c>
      <c r="AH1040" t="s">
        <v>4280</v>
      </c>
      <c r="AI1040">
        <v>7</v>
      </c>
      <c r="AJ1040">
        <v>1</v>
      </c>
      <c r="AK1040">
        <v>1</v>
      </c>
      <c r="AL1040">
        <v>0</v>
      </c>
      <c r="AO1040" t="s">
        <v>1425</v>
      </c>
      <c r="AP1040">
        <v>0</v>
      </c>
      <c r="AV1040">
        <v>1.45</v>
      </c>
      <c r="AW1040" t="s">
        <v>73</v>
      </c>
    </row>
    <row r="1041" spans="1:49">
      <c r="A1041" s="1">
        <f>HYPERLINK("https://cms.ls-nyc.org/matter/dynamic-profile/view/1888967","19-1888967")</f>
        <v>0</v>
      </c>
      <c r="B1041" t="s">
        <v>73</v>
      </c>
      <c r="C1041" t="s">
        <v>83</v>
      </c>
      <c r="D1041" t="s">
        <v>88</v>
      </c>
      <c r="F1041" t="s">
        <v>1074</v>
      </c>
      <c r="G1041" t="s">
        <v>2146</v>
      </c>
      <c r="H1041" t="s">
        <v>3386</v>
      </c>
      <c r="I1041" t="s">
        <v>3908</v>
      </c>
      <c r="J1041" t="s">
        <v>4268</v>
      </c>
      <c r="K1041">
        <v>11378</v>
      </c>
      <c r="L1041" t="s">
        <v>4276</v>
      </c>
      <c r="M1041" t="s">
        <v>4275</v>
      </c>
      <c r="O1041" t="s">
        <v>4282</v>
      </c>
      <c r="P1041" t="s">
        <v>5208</v>
      </c>
      <c r="Q1041" t="s">
        <v>5731</v>
      </c>
      <c r="R1041" t="s">
        <v>5753</v>
      </c>
      <c r="T1041" t="s">
        <v>4276</v>
      </c>
      <c r="V1041" t="s">
        <v>5767</v>
      </c>
      <c r="W1041" t="s">
        <v>5772</v>
      </c>
      <c r="Y1041">
        <v>1500</v>
      </c>
      <c r="Z1041" t="s">
        <v>5803</v>
      </c>
      <c r="AA1041" t="s">
        <v>5804</v>
      </c>
      <c r="AC1041" t="s">
        <v>6786</v>
      </c>
      <c r="AE1041" t="s">
        <v>8768</v>
      </c>
      <c r="AF1041">
        <v>26</v>
      </c>
      <c r="AG1041" t="s">
        <v>9272</v>
      </c>
      <c r="AH1041" t="s">
        <v>4280</v>
      </c>
      <c r="AI1041">
        <v>1</v>
      </c>
      <c r="AJ1041">
        <v>1</v>
      </c>
      <c r="AK1041">
        <v>0</v>
      </c>
      <c r="AL1041">
        <v>0</v>
      </c>
      <c r="AO1041" t="s">
        <v>1425</v>
      </c>
      <c r="AP1041">
        <v>0</v>
      </c>
      <c r="AV1041">
        <v>0.25</v>
      </c>
      <c r="AW1041" t="s">
        <v>73</v>
      </c>
    </row>
    <row r="1042" spans="1:49">
      <c r="A1042" s="1">
        <f>HYPERLINK("https://cms.ls-nyc.org/matter/dynamic-profile/view/1874655","18-1874655")</f>
        <v>0</v>
      </c>
      <c r="B1042" t="s">
        <v>73</v>
      </c>
      <c r="C1042" t="s">
        <v>82</v>
      </c>
      <c r="D1042" t="s">
        <v>103</v>
      </c>
      <c r="E1042" t="s">
        <v>303</v>
      </c>
      <c r="F1042" t="s">
        <v>510</v>
      </c>
      <c r="G1042" t="s">
        <v>2147</v>
      </c>
      <c r="H1042" t="s">
        <v>2669</v>
      </c>
      <c r="I1042" t="s">
        <v>4122</v>
      </c>
      <c r="J1042" t="s">
        <v>4241</v>
      </c>
      <c r="K1042">
        <v>11368</v>
      </c>
      <c r="L1042" t="s">
        <v>4275</v>
      </c>
      <c r="M1042" t="s">
        <v>4275</v>
      </c>
      <c r="O1042" t="s">
        <v>4282</v>
      </c>
      <c r="P1042" t="s">
        <v>5209</v>
      </c>
      <c r="Q1042" t="s">
        <v>5731</v>
      </c>
      <c r="R1042" t="s">
        <v>5753</v>
      </c>
      <c r="S1042" t="s">
        <v>5759</v>
      </c>
      <c r="T1042" t="s">
        <v>4276</v>
      </c>
      <c r="V1042" t="s">
        <v>5767</v>
      </c>
      <c r="W1042" t="s">
        <v>5771</v>
      </c>
      <c r="X1042" t="s">
        <v>103</v>
      </c>
      <c r="Y1042">
        <v>1743</v>
      </c>
      <c r="Z1042" t="s">
        <v>5803</v>
      </c>
      <c r="AA1042" t="s">
        <v>5804</v>
      </c>
      <c r="AB1042" t="s">
        <v>5821</v>
      </c>
      <c r="AC1042" t="s">
        <v>6787</v>
      </c>
      <c r="AD1042" t="s">
        <v>7666</v>
      </c>
      <c r="AE1042" t="s">
        <v>8769</v>
      </c>
      <c r="AF1042">
        <v>226</v>
      </c>
      <c r="AG1042" t="s">
        <v>9272</v>
      </c>
      <c r="AH1042" t="s">
        <v>4280</v>
      </c>
      <c r="AI1042">
        <v>1</v>
      </c>
      <c r="AJ1042">
        <v>2</v>
      </c>
      <c r="AK1042">
        <v>2</v>
      </c>
      <c r="AL1042">
        <v>0</v>
      </c>
      <c r="AO1042" t="s">
        <v>9298</v>
      </c>
      <c r="AP1042">
        <v>0</v>
      </c>
      <c r="AV1042">
        <v>0.2</v>
      </c>
      <c r="AW1042" t="s">
        <v>73</v>
      </c>
    </row>
    <row r="1043" spans="1:49">
      <c r="A1043" s="1">
        <f>HYPERLINK("https://cms.ls-nyc.org/matter/dynamic-profile/view/1873736","18-1873736")</f>
        <v>0</v>
      </c>
      <c r="B1043" t="s">
        <v>73</v>
      </c>
      <c r="C1043" t="s">
        <v>82</v>
      </c>
      <c r="D1043" t="s">
        <v>112</v>
      </c>
      <c r="E1043" t="s">
        <v>263</v>
      </c>
      <c r="F1043" t="s">
        <v>1075</v>
      </c>
      <c r="G1043" t="s">
        <v>2148</v>
      </c>
      <c r="H1043" t="s">
        <v>3387</v>
      </c>
      <c r="I1043" t="s">
        <v>3841</v>
      </c>
      <c r="J1043" t="s">
        <v>4222</v>
      </c>
      <c r="K1043">
        <v>11433</v>
      </c>
      <c r="L1043" t="s">
        <v>4275</v>
      </c>
      <c r="M1043" t="s">
        <v>4275</v>
      </c>
      <c r="O1043" t="s">
        <v>4282</v>
      </c>
      <c r="P1043" t="s">
        <v>5210</v>
      </c>
      <c r="Q1043" t="s">
        <v>5733</v>
      </c>
      <c r="R1043" t="s">
        <v>5753</v>
      </c>
      <c r="S1043" t="s">
        <v>5759</v>
      </c>
      <c r="T1043" t="s">
        <v>4276</v>
      </c>
      <c r="V1043" t="s">
        <v>5767</v>
      </c>
      <c r="W1043" t="s">
        <v>5772</v>
      </c>
      <c r="X1043" t="s">
        <v>153</v>
      </c>
      <c r="Y1043">
        <v>1800</v>
      </c>
      <c r="Z1043" t="s">
        <v>5803</v>
      </c>
      <c r="AA1043" t="s">
        <v>5804</v>
      </c>
      <c r="AB1043" t="s">
        <v>5821</v>
      </c>
      <c r="AC1043" t="s">
        <v>5994</v>
      </c>
      <c r="AD1043" t="s">
        <v>7667</v>
      </c>
      <c r="AE1043" t="s">
        <v>8770</v>
      </c>
      <c r="AF1043">
        <v>2</v>
      </c>
      <c r="AG1043" t="s">
        <v>9269</v>
      </c>
      <c r="AH1043" t="s">
        <v>9284</v>
      </c>
      <c r="AI1043">
        <v>1</v>
      </c>
      <c r="AJ1043">
        <v>2</v>
      </c>
      <c r="AK1043">
        <v>6</v>
      </c>
      <c r="AL1043">
        <v>25.48</v>
      </c>
      <c r="AO1043" t="s">
        <v>1425</v>
      </c>
      <c r="AP1043">
        <v>10800</v>
      </c>
      <c r="AV1043">
        <v>1.1</v>
      </c>
      <c r="AW1043" t="s">
        <v>73</v>
      </c>
    </row>
    <row r="1044" spans="1:49">
      <c r="A1044" s="1">
        <f>HYPERLINK("https://cms.ls-nyc.org/matter/dynamic-profile/view/1873507","18-1873507")</f>
        <v>0</v>
      </c>
      <c r="B1044" t="s">
        <v>73</v>
      </c>
      <c r="C1044" t="s">
        <v>82</v>
      </c>
      <c r="D1044" t="s">
        <v>148</v>
      </c>
      <c r="E1044" t="s">
        <v>301</v>
      </c>
      <c r="F1044" t="s">
        <v>1076</v>
      </c>
      <c r="G1044" t="s">
        <v>2149</v>
      </c>
      <c r="H1044" t="s">
        <v>3388</v>
      </c>
      <c r="I1044" t="s">
        <v>3912</v>
      </c>
      <c r="J1044" t="s">
        <v>4229</v>
      </c>
      <c r="K1044">
        <v>11355</v>
      </c>
      <c r="L1044" t="s">
        <v>4275</v>
      </c>
      <c r="M1044" t="s">
        <v>4275</v>
      </c>
      <c r="O1044" t="s">
        <v>4282</v>
      </c>
      <c r="P1044" t="s">
        <v>5211</v>
      </c>
      <c r="Q1044" t="s">
        <v>5732</v>
      </c>
      <c r="R1044" t="s">
        <v>5753</v>
      </c>
      <c r="S1044" t="s">
        <v>5759</v>
      </c>
      <c r="T1044" t="s">
        <v>4276</v>
      </c>
      <c r="V1044" t="s">
        <v>5767</v>
      </c>
      <c r="W1044" t="s">
        <v>5774</v>
      </c>
      <c r="X1044" t="s">
        <v>153</v>
      </c>
      <c r="Y1044">
        <v>600</v>
      </c>
      <c r="Z1044" t="s">
        <v>5803</v>
      </c>
      <c r="AA1044" t="s">
        <v>5811</v>
      </c>
      <c r="AB1044" t="s">
        <v>5821</v>
      </c>
      <c r="AC1044" t="s">
        <v>6419</v>
      </c>
      <c r="AD1044" t="s">
        <v>4381</v>
      </c>
      <c r="AE1044" t="s">
        <v>8771</v>
      </c>
      <c r="AF1044">
        <v>85</v>
      </c>
      <c r="AG1044" t="s">
        <v>9269</v>
      </c>
      <c r="AH1044" t="s">
        <v>4280</v>
      </c>
      <c r="AI1044">
        <v>4</v>
      </c>
      <c r="AJ1044">
        <v>1</v>
      </c>
      <c r="AK1044">
        <v>0</v>
      </c>
      <c r="AL1044">
        <v>49.42</v>
      </c>
      <c r="AO1044" t="s">
        <v>9318</v>
      </c>
      <c r="AP1044">
        <v>6000</v>
      </c>
      <c r="AV1044">
        <v>3.5</v>
      </c>
      <c r="AW1044" t="s">
        <v>73</v>
      </c>
    </row>
    <row r="1045" spans="1:49">
      <c r="A1045" s="1">
        <f>HYPERLINK("https://cms.ls-nyc.org/matter/dynamic-profile/view/1875136","18-1875136")</f>
        <v>0</v>
      </c>
      <c r="B1045" t="s">
        <v>73</v>
      </c>
      <c r="C1045" t="s">
        <v>82</v>
      </c>
      <c r="D1045" t="s">
        <v>177</v>
      </c>
      <c r="E1045" t="s">
        <v>301</v>
      </c>
      <c r="F1045" t="s">
        <v>1077</v>
      </c>
      <c r="G1045" t="s">
        <v>836</v>
      </c>
      <c r="H1045" t="s">
        <v>3389</v>
      </c>
      <c r="I1045" t="s">
        <v>3941</v>
      </c>
      <c r="J1045" t="s">
        <v>4244</v>
      </c>
      <c r="K1045">
        <v>11413</v>
      </c>
      <c r="L1045" t="s">
        <v>4275</v>
      </c>
      <c r="M1045" t="s">
        <v>4275</v>
      </c>
      <c r="O1045" t="s">
        <v>4282</v>
      </c>
      <c r="P1045" t="s">
        <v>5212</v>
      </c>
      <c r="Q1045" t="s">
        <v>5732</v>
      </c>
      <c r="R1045" t="s">
        <v>5753</v>
      </c>
      <c r="S1045" t="s">
        <v>5759</v>
      </c>
      <c r="T1045" t="s">
        <v>4276</v>
      </c>
      <c r="V1045" t="s">
        <v>5767</v>
      </c>
      <c r="W1045" t="s">
        <v>5772</v>
      </c>
      <c r="X1045" t="s">
        <v>177</v>
      </c>
      <c r="Y1045">
        <v>1500</v>
      </c>
      <c r="Z1045" t="s">
        <v>5803</v>
      </c>
      <c r="AA1045" t="s">
        <v>5804</v>
      </c>
      <c r="AB1045" t="s">
        <v>5821</v>
      </c>
      <c r="AC1045" t="s">
        <v>6788</v>
      </c>
      <c r="AD1045" t="s">
        <v>7668</v>
      </c>
      <c r="AE1045" t="s">
        <v>8772</v>
      </c>
      <c r="AF1045">
        <v>2</v>
      </c>
      <c r="AG1045" t="s">
        <v>9269</v>
      </c>
      <c r="AH1045" t="s">
        <v>4280</v>
      </c>
      <c r="AI1045">
        <v>2</v>
      </c>
      <c r="AJ1045">
        <v>4</v>
      </c>
      <c r="AK1045">
        <v>1</v>
      </c>
      <c r="AL1045">
        <v>50.99</v>
      </c>
      <c r="AO1045" t="s">
        <v>1425</v>
      </c>
      <c r="AP1045">
        <v>15000</v>
      </c>
      <c r="AV1045">
        <v>2.45</v>
      </c>
      <c r="AW1045" t="s">
        <v>73</v>
      </c>
    </row>
    <row r="1046" spans="1:49">
      <c r="A1046" s="1">
        <f>HYPERLINK("https://cms.ls-nyc.org/matter/dynamic-profile/view/1876505","18-1876505")</f>
        <v>0</v>
      </c>
      <c r="B1046" t="s">
        <v>73</v>
      </c>
      <c r="C1046" t="s">
        <v>82</v>
      </c>
      <c r="D1046" t="s">
        <v>266</v>
      </c>
      <c r="E1046" t="s">
        <v>259</v>
      </c>
      <c r="F1046" t="s">
        <v>1078</v>
      </c>
      <c r="G1046" t="s">
        <v>1811</v>
      </c>
      <c r="H1046" t="s">
        <v>3390</v>
      </c>
      <c r="I1046" t="s">
        <v>4083</v>
      </c>
      <c r="J1046" t="s">
        <v>4240</v>
      </c>
      <c r="K1046">
        <v>11373</v>
      </c>
      <c r="L1046" t="s">
        <v>4276</v>
      </c>
      <c r="M1046" t="s">
        <v>4276</v>
      </c>
      <c r="O1046" t="s">
        <v>4281</v>
      </c>
      <c r="P1046" t="s">
        <v>5213</v>
      </c>
      <c r="Q1046" t="s">
        <v>5732</v>
      </c>
      <c r="R1046" t="s">
        <v>5753</v>
      </c>
      <c r="S1046" t="s">
        <v>5759</v>
      </c>
      <c r="T1046" t="s">
        <v>4276</v>
      </c>
      <c r="V1046" t="s">
        <v>5767</v>
      </c>
      <c r="Y1046">
        <v>1495</v>
      </c>
      <c r="Z1046" t="s">
        <v>5803</v>
      </c>
      <c r="AA1046" t="s">
        <v>5819</v>
      </c>
      <c r="AB1046" t="s">
        <v>5821</v>
      </c>
      <c r="AC1046" t="s">
        <v>6789</v>
      </c>
      <c r="AE1046" t="s">
        <v>8773</v>
      </c>
      <c r="AF1046">
        <v>89</v>
      </c>
      <c r="AG1046" t="s">
        <v>9275</v>
      </c>
      <c r="AH1046" t="s">
        <v>4280</v>
      </c>
      <c r="AI1046">
        <v>13</v>
      </c>
      <c r="AJ1046">
        <v>3</v>
      </c>
      <c r="AK1046">
        <v>1</v>
      </c>
      <c r="AL1046">
        <v>51.16</v>
      </c>
      <c r="AO1046" t="s">
        <v>9298</v>
      </c>
      <c r="AP1046">
        <v>12840</v>
      </c>
      <c r="AV1046">
        <v>0.9</v>
      </c>
      <c r="AW1046" t="s">
        <v>73</v>
      </c>
    </row>
    <row r="1047" spans="1:49">
      <c r="A1047" s="1">
        <f>HYPERLINK("https://cms.ls-nyc.org/matter/dynamic-profile/view/1882213","18-1882213")</f>
        <v>0</v>
      </c>
      <c r="B1047" t="s">
        <v>73</v>
      </c>
      <c r="C1047" t="s">
        <v>82</v>
      </c>
      <c r="D1047" t="s">
        <v>130</v>
      </c>
      <c r="E1047" t="s">
        <v>253</v>
      </c>
      <c r="F1047" t="s">
        <v>1079</v>
      </c>
      <c r="G1047" t="s">
        <v>1385</v>
      </c>
      <c r="H1047" t="s">
        <v>3391</v>
      </c>
      <c r="J1047" t="s">
        <v>4262</v>
      </c>
      <c r="K1047">
        <v>11414</v>
      </c>
      <c r="L1047" t="s">
        <v>4276</v>
      </c>
      <c r="M1047" t="s">
        <v>4276</v>
      </c>
      <c r="O1047" t="s">
        <v>4282</v>
      </c>
      <c r="P1047" t="s">
        <v>5214</v>
      </c>
      <c r="Q1047" t="s">
        <v>5733</v>
      </c>
      <c r="R1047" t="s">
        <v>5753</v>
      </c>
      <c r="S1047" t="s">
        <v>5759</v>
      </c>
      <c r="T1047" t="s">
        <v>4276</v>
      </c>
      <c r="V1047" t="s">
        <v>5767</v>
      </c>
      <c r="W1047" t="s">
        <v>5772</v>
      </c>
      <c r="Y1047">
        <v>2200</v>
      </c>
      <c r="Z1047" t="s">
        <v>5803</v>
      </c>
      <c r="AA1047" t="s">
        <v>5804</v>
      </c>
      <c r="AB1047" t="s">
        <v>5821</v>
      </c>
      <c r="AC1047" t="s">
        <v>6790</v>
      </c>
      <c r="AE1047" t="s">
        <v>8774</v>
      </c>
      <c r="AF1047">
        <v>1</v>
      </c>
      <c r="AG1047" t="s">
        <v>9269</v>
      </c>
      <c r="AH1047" t="s">
        <v>4280</v>
      </c>
      <c r="AI1047">
        <v>5</v>
      </c>
      <c r="AJ1047">
        <v>2</v>
      </c>
      <c r="AK1047">
        <v>1</v>
      </c>
      <c r="AL1047">
        <v>51.97</v>
      </c>
      <c r="AO1047" t="s">
        <v>1425</v>
      </c>
      <c r="AP1047">
        <v>10800</v>
      </c>
      <c r="AV1047">
        <v>0.4</v>
      </c>
      <c r="AW1047" t="s">
        <v>73</v>
      </c>
    </row>
    <row r="1048" spans="1:49">
      <c r="A1048" s="1">
        <f>HYPERLINK("https://cms.ls-nyc.org/matter/dynamic-profile/view/1889570","19-1889570")</f>
        <v>0</v>
      </c>
      <c r="B1048" t="s">
        <v>73</v>
      </c>
      <c r="C1048" t="s">
        <v>83</v>
      </c>
      <c r="D1048" t="s">
        <v>171</v>
      </c>
      <c r="F1048" t="s">
        <v>1080</v>
      </c>
      <c r="G1048" t="s">
        <v>1438</v>
      </c>
      <c r="H1048" t="s">
        <v>3392</v>
      </c>
      <c r="I1048" t="s">
        <v>3909</v>
      </c>
      <c r="J1048" t="s">
        <v>4259</v>
      </c>
      <c r="K1048">
        <v>11693</v>
      </c>
      <c r="L1048" t="s">
        <v>4276</v>
      </c>
      <c r="M1048" t="s">
        <v>4275</v>
      </c>
      <c r="O1048" t="s">
        <v>4282</v>
      </c>
      <c r="P1048" t="s">
        <v>5215</v>
      </c>
      <c r="Q1048" t="s">
        <v>5733</v>
      </c>
      <c r="R1048" t="s">
        <v>5753</v>
      </c>
      <c r="T1048" t="s">
        <v>4276</v>
      </c>
      <c r="V1048" t="s">
        <v>5767</v>
      </c>
      <c r="W1048" t="s">
        <v>5772</v>
      </c>
      <c r="Y1048">
        <v>286</v>
      </c>
      <c r="Z1048" t="s">
        <v>5803</v>
      </c>
      <c r="AA1048" t="s">
        <v>5804</v>
      </c>
      <c r="AC1048" t="s">
        <v>6791</v>
      </c>
      <c r="AE1048" t="s">
        <v>8775</v>
      </c>
      <c r="AF1048">
        <v>2</v>
      </c>
      <c r="AG1048" t="s">
        <v>9269</v>
      </c>
      <c r="AH1048" t="s">
        <v>9282</v>
      </c>
      <c r="AI1048">
        <v>7</v>
      </c>
      <c r="AJ1048">
        <v>2</v>
      </c>
      <c r="AK1048">
        <v>0</v>
      </c>
      <c r="AL1048">
        <v>52.94</v>
      </c>
      <c r="AO1048" t="s">
        <v>9298</v>
      </c>
      <c r="AP1048">
        <v>8952</v>
      </c>
      <c r="AV1048">
        <v>0.25</v>
      </c>
      <c r="AW1048" t="s">
        <v>73</v>
      </c>
    </row>
    <row r="1049" spans="1:49">
      <c r="A1049" s="1">
        <f>HYPERLINK("https://cms.ls-nyc.org/matter/dynamic-profile/view/1884261","18-1884261")</f>
        <v>0</v>
      </c>
      <c r="B1049" t="s">
        <v>73</v>
      </c>
      <c r="C1049" t="s">
        <v>82</v>
      </c>
      <c r="D1049" t="s">
        <v>149</v>
      </c>
      <c r="E1049" t="s">
        <v>286</v>
      </c>
      <c r="F1049" t="s">
        <v>858</v>
      </c>
      <c r="G1049" t="s">
        <v>1926</v>
      </c>
      <c r="H1049" t="s">
        <v>3393</v>
      </c>
      <c r="I1049" t="s">
        <v>3902</v>
      </c>
      <c r="J1049" t="s">
        <v>4234</v>
      </c>
      <c r="K1049">
        <v>11102</v>
      </c>
      <c r="L1049" t="s">
        <v>4275</v>
      </c>
      <c r="M1049" t="s">
        <v>4275</v>
      </c>
      <c r="O1049" t="s">
        <v>4282</v>
      </c>
      <c r="P1049" t="s">
        <v>5216</v>
      </c>
      <c r="Q1049" t="s">
        <v>5733</v>
      </c>
      <c r="R1049" t="s">
        <v>5753</v>
      </c>
      <c r="S1049" t="s">
        <v>5759</v>
      </c>
      <c r="T1049" t="s">
        <v>4276</v>
      </c>
      <c r="V1049" t="s">
        <v>5767</v>
      </c>
      <c r="W1049" t="s">
        <v>5772</v>
      </c>
      <c r="X1049" t="s">
        <v>149</v>
      </c>
      <c r="Y1049">
        <v>0</v>
      </c>
      <c r="Z1049" t="s">
        <v>5803</v>
      </c>
      <c r="AA1049" t="s">
        <v>5804</v>
      </c>
      <c r="AB1049" t="s">
        <v>5821</v>
      </c>
      <c r="AC1049" t="s">
        <v>6480</v>
      </c>
      <c r="AE1049" t="s">
        <v>8472</v>
      </c>
      <c r="AF1049">
        <v>7</v>
      </c>
      <c r="AG1049" t="s">
        <v>9272</v>
      </c>
      <c r="AH1049" t="s">
        <v>4280</v>
      </c>
      <c r="AI1049">
        <v>3</v>
      </c>
      <c r="AJ1049">
        <v>1</v>
      </c>
      <c r="AK1049">
        <v>0</v>
      </c>
      <c r="AL1049">
        <v>57.66</v>
      </c>
      <c r="AO1049" t="s">
        <v>1425</v>
      </c>
      <c r="AP1049">
        <v>7000</v>
      </c>
      <c r="AV1049">
        <v>0.2</v>
      </c>
      <c r="AW1049" t="s">
        <v>73</v>
      </c>
    </row>
    <row r="1050" spans="1:49">
      <c r="A1050" s="1">
        <f>HYPERLINK("https://cms.ls-nyc.org/matter/dynamic-profile/view/1879591","18-1879591")</f>
        <v>0</v>
      </c>
      <c r="B1050" t="s">
        <v>73</v>
      </c>
      <c r="C1050" t="s">
        <v>82</v>
      </c>
      <c r="D1050" t="s">
        <v>128</v>
      </c>
      <c r="E1050" t="s">
        <v>300</v>
      </c>
      <c r="F1050" t="s">
        <v>370</v>
      </c>
      <c r="G1050" t="s">
        <v>1840</v>
      </c>
      <c r="H1050" t="s">
        <v>3067</v>
      </c>
      <c r="I1050" t="s">
        <v>3878</v>
      </c>
      <c r="J1050" t="s">
        <v>4250</v>
      </c>
      <c r="K1050">
        <v>11412</v>
      </c>
      <c r="L1050" t="s">
        <v>4275</v>
      </c>
      <c r="M1050" t="s">
        <v>4275</v>
      </c>
      <c r="O1050" t="s">
        <v>4283</v>
      </c>
      <c r="P1050" t="s">
        <v>5217</v>
      </c>
      <c r="Q1050" t="s">
        <v>5733</v>
      </c>
      <c r="R1050" t="s">
        <v>5753</v>
      </c>
      <c r="S1050" t="s">
        <v>5759</v>
      </c>
      <c r="T1050" t="s">
        <v>4276</v>
      </c>
      <c r="V1050" t="s">
        <v>5767</v>
      </c>
      <c r="W1050" t="s">
        <v>5772</v>
      </c>
      <c r="X1050" t="s">
        <v>147</v>
      </c>
      <c r="Y1050">
        <v>800</v>
      </c>
      <c r="Z1050" t="s">
        <v>5803</v>
      </c>
      <c r="AA1050" t="s">
        <v>5804</v>
      </c>
      <c r="AB1050" t="s">
        <v>5821</v>
      </c>
      <c r="AC1050" t="s">
        <v>6418</v>
      </c>
      <c r="AE1050" t="s">
        <v>8414</v>
      </c>
      <c r="AF1050">
        <v>2</v>
      </c>
      <c r="AG1050" t="s">
        <v>9269</v>
      </c>
      <c r="AH1050" t="s">
        <v>4280</v>
      </c>
      <c r="AI1050">
        <v>1</v>
      </c>
      <c r="AJ1050">
        <v>1</v>
      </c>
      <c r="AK1050">
        <v>2</v>
      </c>
      <c r="AL1050">
        <v>57.75</v>
      </c>
      <c r="AO1050" t="s">
        <v>1425</v>
      </c>
      <c r="AP1050">
        <v>12000</v>
      </c>
      <c r="AV1050">
        <v>0.2</v>
      </c>
      <c r="AW1050" t="s">
        <v>73</v>
      </c>
    </row>
    <row r="1051" spans="1:49">
      <c r="A1051" s="1">
        <f>HYPERLINK("https://cms.ls-nyc.org/matter/dynamic-profile/view/1873518","18-1873518")</f>
        <v>0</v>
      </c>
      <c r="B1051" t="s">
        <v>73</v>
      </c>
      <c r="C1051" t="s">
        <v>82</v>
      </c>
      <c r="D1051" t="s">
        <v>131</v>
      </c>
      <c r="E1051" t="s">
        <v>219</v>
      </c>
      <c r="F1051" t="s">
        <v>1081</v>
      </c>
      <c r="G1051" t="s">
        <v>956</v>
      </c>
      <c r="H1051" t="s">
        <v>3394</v>
      </c>
      <c r="J1051" t="s">
        <v>4235</v>
      </c>
      <c r="K1051">
        <v>11421</v>
      </c>
      <c r="L1051" t="s">
        <v>4275</v>
      </c>
      <c r="M1051" t="s">
        <v>4275</v>
      </c>
      <c r="O1051" t="s">
        <v>4284</v>
      </c>
      <c r="P1051" t="s">
        <v>4280</v>
      </c>
      <c r="Q1051" t="s">
        <v>4698</v>
      </c>
      <c r="R1051" t="s">
        <v>5753</v>
      </c>
      <c r="S1051" t="s">
        <v>5759</v>
      </c>
      <c r="T1051" t="s">
        <v>4276</v>
      </c>
      <c r="V1051" t="s">
        <v>5767</v>
      </c>
      <c r="W1051" t="s">
        <v>5772</v>
      </c>
      <c r="X1051" t="s">
        <v>112</v>
      </c>
      <c r="Y1051">
        <v>2100</v>
      </c>
      <c r="Z1051" t="s">
        <v>5803</v>
      </c>
      <c r="AA1051" t="s">
        <v>5815</v>
      </c>
      <c r="AB1051" t="s">
        <v>5821</v>
      </c>
      <c r="AC1051" t="s">
        <v>6792</v>
      </c>
      <c r="AD1051" t="s">
        <v>4280</v>
      </c>
      <c r="AE1051" t="s">
        <v>7289</v>
      </c>
      <c r="AF1051">
        <v>2</v>
      </c>
      <c r="AG1051" t="s">
        <v>9269</v>
      </c>
      <c r="AH1051" t="s">
        <v>4280</v>
      </c>
      <c r="AI1051">
        <v>18</v>
      </c>
      <c r="AJ1051">
        <v>1</v>
      </c>
      <c r="AK1051">
        <v>4</v>
      </c>
      <c r="AL1051">
        <v>61.86</v>
      </c>
      <c r="AM1051" t="s">
        <v>9292</v>
      </c>
      <c r="AN1051" t="s">
        <v>9295</v>
      </c>
      <c r="AO1051" t="s">
        <v>9298</v>
      </c>
      <c r="AP1051">
        <v>18200</v>
      </c>
      <c r="AV1051">
        <v>1.1</v>
      </c>
      <c r="AW1051" t="s">
        <v>73</v>
      </c>
    </row>
    <row r="1052" spans="1:49">
      <c r="A1052" s="1">
        <f>HYPERLINK("https://cms.ls-nyc.org/matter/dynamic-profile/view/1872525","18-1872525")</f>
        <v>0</v>
      </c>
      <c r="B1052" t="s">
        <v>73</v>
      </c>
      <c r="C1052" t="s">
        <v>82</v>
      </c>
      <c r="D1052" t="s">
        <v>261</v>
      </c>
      <c r="E1052" t="s">
        <v>301</v>
      </c>
      <c r="F1052" t="s">
        <v>822</v>
      </c>
      <c r="G1052" t="s">
        <v>1508</v>
      </c>
      <c r="H1052" t="s">
        <v>3395</v>
      </c>
      <c r="I1052" t="s">
        <v>3932</v>
      </c>
      <c r="J1052" t="s">
        <v>4249</v>
      </c>
      <c r="K1052">
        <v>11427</v>
      </c>
      <c r="L1052" t="s">
        <v>4275</v>
      </c>
      <c r="M1052" t="s">
        <v>4275</v>
      </c>
      <c r="O1052" t="s">
        <v>4282</v>
      </c>
      <c r="P1052" t="s">
        <v>5218</v>
      </c>
      <c r="Q1052" t="s">
        <v>5731</v>
      </c>
      <c r="R1052" t="s">
        <v>5753</v>
      </c>
      <c r="S1052" t="s">
        <v>5759</v>
      </c>
      <c r="T1052" t="s">
        <v>4276</v>
      </c>
      <c r="V1052" t="s">
        <v>5767</v>
      </c>
      <c r="W1052" t="s">
        <v>5771</v>
      </c>
      <c r="X1052" t="s">
        <v>195</v>
      </c>
      <c r="Y1052">
        <v>1117.98</v>
      </c>
      <c r="Z1052" t="s">
        <v>5803</v>
      </c>
      <c r="AA1052" t="s">
        <v>5804</v>
      </c>
      <c r="AB1052" t="s">
        <v>5821</v>
      </c>
      <c r="AC1052" t="s">
        <v>6793</v>
      </c>
      <c r="AE1052" t="s">
        <v>8776</v>
      </c>
      <c r="AF1052">
        <v>48</v>
      </c>
      <c r="AG1052" t="s">
        <v>9272</v>
      </c>
      <c r="AH1052" t="s">
        <v>9287</v>
      </c>
      <c r="AI1052">
        <v>38</v>
      </c>
      <c r="AJ1052">
        <v>1</v>
      </c>
      <c r="AK1052">
        <v>0</v>
      </c>
      <c r="AL1052">
        <v>79.08</v>
      </c>
      <c r="AO1052" t="s">
        <v>1425</v>
      </c>
      <c r="AP1052">
        <v>9600</v>
      </c>
      <c r="AV1052">
        <v>0.95</v>
      </c>
      <c r="AW1052" t="s">
        <v>73</v>
      </c>
    </row>
    <row r="1053" spans="1:49">
      <c r="A1053" s="1">
        <f>HYPERLINK("https://cms.ls-nyc.org/matter/dynamic-profile/view/1878854","18-1878854")</f>
        <v>0</v>
      </c>
      <c r="B1053" t="s">
        <v>73</v>
      </c>
      <c r="C1053" t="s">
        <v>82</v>
      </c>
      <c r="D1053" t="s">
        <v>215</v>
      </c>
      <c r="E1053" t="s">
        <v>282</v>
      </c>
      <c r="F1053" t="s">
        <v>686</v>
      </c>
      <c r="G1053" t="s">
        <v>2150</v>
      </c>
      <c r="H1053" t="s">
        <v>3396</v>
      </c>
      <c r="I1053" t="s">
        <v>3878</v>
      </c>
      <c r="J1053" t="s">
        <v>4245</v>
      </c>
      <c r="K1053">
        <v>11418</v>
      </c>
      <c r="L1053" t="s">
        <v>4275</v>
      </c>
      <c r="M1053" t="s">
        <v>4275</v>
      </c>
      <c r="O1053" t="s">
        <v>4282</v>
      </c>
      <c r="P1053" t="s">
        <v>5219</v>
      </c>
      <c r="Q1053" t="s">
        <v>5732</v>
      </c>
      <c r="R1053" t="s">
        <v>5753</v>
      </c>
      <c r="S1053" t="s">
        <v>5759</v>
      </c>
      <c r="T1053" t="s">
        <v>4276</v>
      </c>
      <c r="V1053" t="s">
        <v>5767</v>
      </c>
      <c r="X1053" t="s">
        <v>279</v>
      </c>
      <c r="Y1053">
        <v>1100</v>
      </c>
      <c r="Z1053" t="s">
        <v>5803</v>
      </c>
      <c r="AA1053" t="s">
        <v>5804</v>
      </c>
      <c r="AB1053" t="s">
        <v>5821</v>
      </c>
      <c r="AC1053" t="s">
        <v>6794</v>
      </c>
      <c r="AD1053" t="s">
        <v>7669</v>
      </c>
      <c r="AE1053" t="s">
        <v>8777</v>
      </c>
      <c r="AF1053">
        <v>2</v>
      </c>
      <c r="AG1053" t="s">
        <v>9269</v>
      </c>
      <c r="AH1053" t="s">
        <v>4280</v>
      </c>
      <c r="AI1053">
        <v>1</v>
      </c>
      <c r="AJ1053">
        <v>1</v>
      </c>
      <c r="AK1053">
        <v>0</v>
      </c>
      <c r="AL1053">
        <v>82.04000000000001</v>
      </c>
      <c r="AO1053" t="s">
        <v>9298</v>
      </c>
      <c r="AP1053">
        <v>9960</v>
      </c>
      <c r="AV1053">
        <v>0.5</v>
      </c>
      <c r="AW1053" t="s">
        <v>73</v>
      </c>
    </row>
    <row r="1054" spans="1:49">
      <c r="A1054" s="1">
        <f>HYPERLINK("https://cms.ls-nyc.org/matter/dynamic-profile/view/1875747","18-1875747")</f>
        <v>0</v>
      </c>
      <c r="B1054" t="s">
        <v>73</v>
      </c>
      <c r="C1054" t="s">
        <v>82</v>
      </c>
      <c r="D1054" t="s">
        <v>151</v>
      </c>
      <c r="E1054" t="s">
        <v>152</v>
      </c>
      <c r="F1054" t="s">
        <v>1082</v>
      </c>
      <c r="G1054" t="s">
        <v>2151</v>
      </c>
      <c r="H1054" t="s">
        <v>3397</v>
      </c>
      <c r="I1054" t="s">
        <v>4123</v>
      </c>
      <c r="J1054" t="s">
        <v>4253</v>
      </c>
      <c r="K1054">
        <v>11422</v>
      </c>
      <c r="L1054" t="s">
        <v>4275</v>
      </c>
      <c r="M1054" t="s">
        <v>4275</v>
      </c>
      <c r="O1054" t="s">
        <v>4282</v>
      </c>
      <c r="P1054" t="s">
        <v>5220</v>
      </c>
      <c r="Q1054" t="s">
        <v>5732</v>
      </c>
      <c r="R1054" t="s">
        <v>5753</v>
      </c>
      <c r="S1054" t="s">
        <v>5759</v>
      </c>
      <c r="T1054" t="s">
        <v>4276</v>
      </c>
      <c r="V1054" t="s">
        <v>5767</v>
      </c>
      <c r="W1054" t="s">
        <v>5772</v>
      </c>
      <c r="X1054" t="s">
        <v>151</v>
      </c>
      <c r="Y1054">
        <v>800</v>
      </c>
      <c r="Z1054" t="s">
        <v>5803</v>
      </c>
      <c r="AA1054" t="s">
        <v>5804</v>
      </c>
      <c r="AB1054" t="s">
        <v>5821</v>
      </c>
      <c r="AC1054" t="s">
        <v>6795</v>
      </c>
      <c r="AD1054" t="s">
        <v>7670</v>
      </c>
      <c r="AE1054" t="s">
        <v>8778</v>
      </c>
      <c r="AF1054">
        <v>3</v>
      </c>
      <c r="AG1054" t="s">
        <v>9269</v>
      </c>
      <c r="AH1054" t="s">
        <v>9284</v>
      </c>
      <c r="AI1054">
        <v>1</v>
      </c>
      <c r="AJ1054">
        <v>1</v>
      </c>
      <c r="AK1054">
        <v>0</v>
      </c>
      <c r="AL1054">
        <v>89.56</v>
      </c>
      <c r="AO1054" t="s">
        <v>1425</v>
      </c>
      <c r="AP1054">
        <v>10872</v>
      </c>
      <c r="AV1054">
        <v>0.25</v>
      </c>
      <c r="AW1054" t="s">
        <v>73</v>
      </c>
    </row>
    <row r="1055" spans="1:49">
      <c r="A1055" s="1">
        <f>HYPERLINK("https://cms.ls-nyc.org/matter/dynamic-profile/view/1872714","18-1872714")</f>
        <v>0</v>
      </c>
      <c r="B1055" t="s">
        <v>73</v>
      </c>
      <c r="C1055" t="s">
        <v>82</v>
      </c>
      <c r="D1055" t="s">
        <v>143</v>
      </c>
      <c r="E1055" t="s">
        <v>261</v>
      </c>
      <c r="F1055" t="s">
        <v>1083</v>
      </c>
      <c r="G1055" t="s">
        <v>2152</v>
      </c>
      <c r="H1055" t="s">
        <v>3398</v>
      </c>
      <c r="I1055" t="s">
        <v>4124</v>
      </c>
      <c r="J1055" t="s">
        <v>4236</v>
      </c>
      <c r="K1055">
        <v>11416</v>
      </c>
      <c r="L1055" t="s">
        <v>4275</v>
      </c>
      <c r="M1055" t="s">
        <v>4275</v>
      </c>
      <c r="O1055" t="s">
        <v>4284</v>
      </c>
      <c r="P1055" t="s">
        <v>5221</v>
      </c>
      <c r="Q1055" t="s">
        <v>5732</v>
      </c>
      <c r="R1055" t="s">
        <v>5753</v>
      </c>
      <c r="S1055" t="s">
        <v>5759</v>
      </c>
      <c r="T1055" t="s">
        <v>4276</v>
      </c>
      <c r="V1055" t="s">
        <v>5767</v>
      </c>
      <c r="W1055" t="s">
        <v>5772</v>
      </c>
      <c r="X1055" t="s">
        <v>143</v>
      </c>
      <c r="Y1055">
        <v>1400</v>
      </c>
      <c r="Z1055" t="s">
        <v>5803</v>
      </c>
      <c r="AA1055" t="s">
        <v>5815</v>
      </c>
      <c r="AB1055" t="s">
        <v>5821</v>
      </c>
      <c r="AC1055" t="s">
        <v>6796</v>
      </c>
      <c r="AD1055" t="s">
        <v>7671</v>
      </c>
      <c r="AE1055" t="s">
        <v>8779</v>
      </c>
      <c r="AF1055">
        <v>2</v>
      </c>
      <c r="AG1055" t="s">
        <v>9269</v>
      </c>
      <c r="AH1055" t="s">
        <v>9283</v>
      </c>
      <c r="AI1055">
        <v>9</v>
      </c>
      <c r="AJ1055">
        <v>2</v>
      </c>
      <c r="AK1055">
        <v>3</v>
      </c>
      <c r="AL1055">
        <v>97.20999999999999</v>
      </c>
      <c r="AM1055" t="s">
        <v>9291</v>
      </c>
      <c r="AN1055" t="s">
        <v>9295</v>
      </c>
      <c r="AO1055" t="s">
        <v>9298</v>
      </c>
      <c r="AP1055">
        <v>28600</v>
      </c>
      <c r="AV1055">
        <v>1.4</v>
      </c>
      <c r="AW1055" t="s">
        <v>73</v>
      </c>
    </row>
    <row r="1056" spans="1:49">
      <c r="A1056" s="1">
        <f>HYPERLINK("https://cms.ls-nyc.org/matter/dynamic-profile/view/1880953","18-1880953")</f>
        <v>0</v>
      </c>
      <c r="B1056" t="s">
        <v>73</v>
      </c>
      <c r="C1056" t="s">
        <v>82</v>
      </c>
      <c r="D1056" t="s">
        <v>256</v>
      </c>
      <c r="E1056" t="s">
        <v>253</v>
      </c>
      <c r="F1056" t="s">
        <v>1084</v>
      </c>
      <c r="G1056" t="s">
        <v>2153</v>
      </c>
      <c r="H1056" t="s">
        <v>3399</v>
      </c>
      <c r="J1056" t="s">
        <v>4222</v>
      </c>
      <c r="K1056">
        <v>11434</v>
      </c>
      <c r="L1056" t="s">
        <v>4275</v>
      </c>
      <c r="M1056" t="s">
        <v>4275</v>
      </c>
      <c r="O1056" t="s">
        <v>4281</v>
      </c>
      <c r="P1056" t="s">
        <v>5222</v>
      </c>
      <c r="Q1056" t="s">
        <v>5732</v>
      </c>
      <c r="R1056" t="s">
        <v>5753</v>
      </c>
      <c r="S1056" t="s">
        <v>5759</v>
      </c>
      <c r="T1056" t="s">
        <v>4276</v>
      </c>
      <c r="V1056" t="s">
        <v>5767</v>
      </c>
      <c r="W1056" t="s">
        <v>5775</v>
      </c>
      <c r="X1056" t="s">
        <v>256</v>
      </c>
      <c r="Y1056">
        <v>0</v>
      </c>
      <c r="Z1056" t="s">
        <v>5803</v>
      </c>
      <c r="AA1056" t="s">
        <v>5812</v>
      </c>
      <c r="AB1056" t="s">
        <v>5821</v>
      </c>
      <c r="AC1056" t="s">
        <v>6797</v>
      </c>
      <c r="AD1056" t="s">
        <v>4700</v>
      </c>
      <c r="AE1056" t="s">
        <v>8780</v>
      </c>
      <c r="AF1056">
        <v>1</v>
      </c>
      <c r="AG1056" t="s">
        <v>9269</v>
      </c>
      <c r="AH1056" t="s">
        <v>4280</v>
      </c>
      <c r="AI1056">
        <v>21</v>
      </c>
      <c r="AJ1056">
        <v>3</v>
      </c>
      <c r="AK1056">
        <v>0</v>
      </c>
      <c r="AL1056">
        <v>117.03</v>
      </c>
      <c r="AO1056" t="s">
        <v>1425</v>
      </c>
      <c r="AP1056">
        <v>24319.36</v>
      </c>
      <c r="AV1056">
        <v>2.7</v>
      </c>
      <c r="AW1056" t="s">
        <v>9549</v>
      </c>
    </row>
    <row r="1057" spans="1:49">
      <c r="A1057" s="1">
        <f>HYPERLINK("https://cms.ls-nyc.org/matter/dynamic-profile/view/1875249","18-1875249")</f>
        <v>0</v>
      </c>
      <c r="B1057" t="s">
        <v>73</v>
      </c>
      <c r="C1057" t="s">
        <v>82</v>
      </c>
      <c r="D1057" t="s">
        <v>267</v>
      </c>
      <c r="E1057" t="s">
        <v>267</v>
      </c>
      <c r="F1057" t="s">
        <v>457</v>
      </c>
      <c r="G1057" t="s">
        <v>2154</v>
      </c>
      <c r="H1057" t="s">
        <v>3400</v>
      </c>
      <c r="I1057" t="s">
        <v>4125</v>
      </c>
      <c r="J1057" t="s">
        <v>4258</v>
      </c>
      <c r="K1057">
        <v>11369</v>
      </c>
      <c r="L1057" t="s">
        <v>4276</v>
      </c>
      <c r="M1057" t="s">
        <v>4275</v>
      </c>
      <c r="O1057" t="s">
        <v>4283</v>
      </c>
      <c r="P1057" t="s">
        <v>5223</v>
      </c>
      <c r="Q1057" t="s">
        <v>5733</v>
      </c>
      <c r="R1057" t="s">
        <v>5753</v>
      </c>
      <c r="S1057" t="s">
        <v>5759</v>
      </c>
      <c r="T1057" t="s">
        <v>4276</v>
      </c>
      <c r="V1057" t="s">
        <v>5767</v>
      </c>
      <c r="W1057" t="s">
        <v>5772</v>
      </c>
      <c r="Y1057">
        <v>800</v>
      </c>
      <c r="Z1057" t="s">
        <v>5803</v>
      </c>
      <c r="AA1057" t="s">
        <v>5804</v>
      </c>
      <c r="AB1057" t="s">
        <v>5821</v>
      </c>
      <c r="AC1057" t="s">
        <v>6798</v>
      </c>
      <c r="AD1057" t="s">
        <v>4280</v>
      </c>
      <c r="AE1057" t="s">
        <v>8781</v>
      </c>
      <c r="AF1057">
        <v>3</v>
      </c>
      <c r="AG1057" t="s">
        <v>9269</v>
      </c>
      <c r="AH1057" t="s">
        <v>4280</v>
      </c>
      <c r="AI1057">
        <v>1</v>
      </c>
      <c r="AJ1057">
        <v>2</v>
      </c>
      <c r="AK1057">
        <v>1</v>
      </c>
      <c r="AL1057">
        <v>132.63</v>
      </c>
      <c r="AO1057" t="s">
        <v>1425</v>
      </c>
      <c r="AP1057">
        <v>27560</v>
      </c>
      <c r="AV1057">
        <v>0.3</v>
      </c>
      <c r="AW1057" t="s">
        <v>73</v>
      </c>
    </row>
    <row r="1058" spans="1:49">
      <c r="A1058" s="1">
        <f>HYPERLINK("https://cms.ls-nyc.org/matter/dynamic-profile/view/1874637","18-1874637")</f>
        <v>0</v>
      </c>
      <c r="B1058" t="s">
        <v>73</v>
      </c>
      <c r="C1058" t="s">
        <v>82</v>
      </c>
      <c r="D1058" t="s">
        <v>103</v>
      </c>
      <c r="E1058" t="s">
        <v>301</v>
      </c>
      <c r="F1058" t="s">
        <v>1085</v>
      </c>
      <c r="G1058" t="s">
        <v>2155</v>
      </c>
      <c r="H1058" t="s">
        <v>3401</v>
      </c>
      <c r="I1058" t="s">
        <v>4126</v>
      </c>
      <c r="J1058" t="s">
        <v>4222</v>
      </c>
      <c r="K1058">
        <v>11435</v>
      </c>
      <c r="L1058" t="s">
        <v>4275</v>
      </c>
      <c r="M1058" t="s">
        <v>4275</v>
      </c>
      <c r="O1058" t="s">
        <v>4282</v>
      </c>
      <c r="P1058" t="s">
        <v>5224</v>
      </c>
      <c r="Q1058" t="s">
        <v>5732</v>
      </c>
      <c r="R1058" t="s">
        <v>5753</v>
      </c>
      <c r="S1058" t="s">
        <v>5759</v>
      </c>
      <c r="T1058" t="s">
        <v>4276</v>
      </c>
      <c r="V1058" t="s">
        <v>5767</v>
      </c>
      <c r="W1058" t="s">
        <v>5772</v>
      </c>
      <c r="X1058" t="s">
        <v>103</v>
      </c>
      <c r="Y1058">
        <v>1500</v>
      </c>
      <c r="Z1058" t="s">
        <v>5803</v>
      </c>
      <c r="AA1058" t="s">
        <v>5804</v>
      </c>
      <c r="AB1058" t="s">
        <v>5821</v>
      </c>
      <c r="AC1058" t="s">
        <v>6799</v>
      </c>
      <c r="AD1058" t="s">
        <v>4280</v>
      </c>
      <c r="AE1058" t="s">
        <v>8782</v>
      </c>
      <c r="AF1058">
        <v>2</v>
      </c>
      <c r="AG1058" t="s">
        <v>9269</v>
      </c>
      <c r="AH1058" t="s">
        <v>4280</v>
      </c>
      <c r="AI1058">
        <v>1</v>
      </c>
      <c r="AJ1058">
        <v>2</v>
      </c>
      <c r="AK1058">
        <v>1</v>
      </c>
      <c r="AL1058">
        <v>138.59</v>
      </c>
      <c r="AO1058" t="s">
        <v>1425</v>
      </c>
      <c r="AP1058">
        <v>28800</v>
      </c>
      <c r="AV1058">
        <v>1.5</v>
      </c>
      <c r="AW1058" t="s">
        <v>73</v>
      </c>
    </row>
    <row r="1059" spans="1:49">
      <c r="A1059" s="1">
        <f>HYPERLINK("https://cms.ls-nyc.org/matter/dynamic-profile/view/1873800","18-1873800")</f>
        <v>0</v>
      </c>
      <c r="B1059" t="s">
        <v>73</v>
      </c>
      <c r="C1059" t="s">
        <v>82</v>
      </c>
      <c r="D1059" t="s">
        <v>112</v>
      </c>
      <c r="E1059" t="s">
        <v>268</v>
      </c>
      <c r="F1059" t="s">
        <v>1086</v>
      </c>
      <c r="G1059" t="s">
        <v>1755</v>
      </c>
      <c r="H1059" t="s">
        <v>3402</v>
      </c>
      <c r="I1059" t="s">
        <v>3863</v>
      </c>
      <c r="J1059" t="s">
        <v>4241</v>
      </c>
      <c r="K1059">
        <v>11368</v>
      </c>
      <c r="L1059" t="s">
        <v>4275</v>
      </c>
      <c r="M1059" t="s">
        <v>4275</v>
      </c>
      <c r="O1059" t="s">
        <v>4282</v>
      </c>
      <c r="P1059" t="s">
        <v>5225</v>
      </c>
      <c r="Q1059" t="s">
        <v>5731</v>
      </c>
      <c r="R1059" t="s">
        <v>5752</v>
      </c>
      <c r="S1059" t="s">
        <v>5759</v>
      </c>
      <c r="T1059" t="s">
        <v>4276</v>
      </c>
      <c r="V1059" t="s">
        <v>5767</v>
      </c>
      <c r="W1059" t="s">
        <v>5775</v>
      </c>
      <c r="X1059" t="s">
        <v>112</v>
      </c>
      <c r="Y1059">
        <v>670</v>
      </c>
      <c r="Z1059" t="s">
        <v>5803</v>
      </c>
      <c r="AA1059" t="s">
        <v>5804</v>
      </c>
      <c r="AB1059" t="s">
        <v>5821</v>
      </c>
      <c r="AC1059" t="s">
        <v>6596</v>
      </c>
      <c r="AD1059" t="s">
        <v>4700</v>
      </c>
      <c r="AE1059" t="s">
        <v>8783</v>
      </c>
      <c r="AF1059">
        <v>9</v>
      </c>
      <c r="AG1059" t="s">
        <v>9272</v>
      </c>
      <c r="AH1059" t="s">
        <v>4280</v>
      </c>
      <c r="AI1059">
        <v>5</v>
      </c>
      <c r="AJ1059">
        <v>1</v>
      </c>
      <c r="AK1059">
        <v>2</v>
      </c>
      <c r="AL1059">
        <v>144.37</v>
      </c>
      <c r="AO1059" t="s">
        <v>1425</v>
      </c>
      <c r="AP1059">
        <v>30000</v>
      </c>
      <c r="AV1059">
        <v>0.75</v>
      </c>
      <c r="AW1059" t="s">
        <v>73</v>
      </c>
    </row>
    <row r="1060" spans="1:49">
      <c r="A1060" s="1">
        <f>HYPERLINK("https://cms.ls-nyc.org/matter/dynamic-profile/view/1884811","18-1884811")</f>
        <v>0</v>
      </c>
      <c r="B1060" t="s">
        <v>73</v>
      </c>
      <c r="C1060" t="s">
        <v>83</v>
      </c>
      <c r="D1060" t="s">
        <v>108</v>
      </c>
      <c r="F1060" t="s">
        <v>1087</v>
      </c>
      <c r="G1060" t="s">
        <v>2156</v>
      </c>
      <c r="H1060" t="s">
        <v>2736</v>
      </c>
      <c r="I1060" t="s">
        <v>3968</v>
      </c>
      <c r="J1060" t="s">
        <v>4240</v>
      </c>
      <c r="K1060">
        <v>11373</v>
      </c>
      <c r="L1060" t="s">
        <v>4276</v>
      </c>
      <c r="M1060" t="s">
        <v>4276</v>
      </c>
      <c r="O1060" t="s">
        <v>4281</v>
      </c>
      <c r="Q1060" t="s">
        <v>4698</v>
      </c>
      <c r="R1060" t="s">
        <v>5753</v>
      </c>
      <c r="T1060" t="s">
        <v>4276</v>
      </c>
      <c r="V1060" t="s">
        <v>5767</v>
      </c>
      <c r="W1060" t="s">
        <v>5772</v>
      </c>
      <c r="Y1060">
        <v>1050</v>
      </c>
      <c r="Z1060" t="s">
        <v>5803</v>
      </c>
      <c r="AA1060" t="s">
        <v>5811</v>
      </c>
      <c r="AC1060" t="s">
        <v>6800</v>
      </c>
      <c r="AE1060" t="s">
        <v>8784</v>
      </c>
      <c r="AF1060">
        <v>126</v>
      </c>
      <c r="AG1060" t="s">
        <v>9272</v>
      </c>
      <c r="AH1060" t="s">
        <v>4280</v>
      </c>
      <c r="AI1060">
        <v>8</v>
      </c>
      <c r="AJ1060">
        <v>2</v>
      </c>
      <c r="AK1060">
        <v>0</v>
      </c>
      <c r="AL1060">
        <v>145.81</v>
      </c>
      <c r="AO1060" t="s">
        <v>9298</v>
      </c>
      <c r="AP1060">
        <v>24000</v>
      </c>
      <c r="AV1060">
        <v>0.8</v>
      </c>
      <c r="AW1060" t="s">
        <v>73</v>
      </c>
    </row>
    <row r="1061" spans="1:49">
      <c r="A1061" s="1">
        <f>HYPERLINK("https://cms.ls-nyc.org/matter/dynamic-profile/view/1873288","18-1873288")</f>
        <v>0</v>
      </c>
      <c r="B1061" t="s">
        <v>73</v>
      </c>
      <c r="C1061" t="s">
        <v>82</v>
      </c>
      <c r="D1061" t="s">
        <v>133</v>
      </c>
      <c r="E1061" t="s">
        <v>242</v>
      </c>
      <c r="F1061" t="s">
        <v>1088</v>
      </c>
      <c r="G1061" t="s">
        <v>2157</v>
      </c>
      <c r="H1061" t="s">
        <v>3403</v>
      </c>
      <c r="I1061" t="s">
        <v>3904</v>
      </c>
      <c r="J1061" t="s">
        <v>4241</v>
      </c>
      <c r="K1061">
        <v>11368</v>
      </c>
      <c r="L1061" t="s">
        <v>4275</v>
      </c>
      <c r="M1061" t="s">
        <v>4275</v>
      </c>
      <c r="O1061" t="s">
        <v>4282</v>
      </c>
      <c r="P1061" t="s">
        <v>5226</v>
      </c>
      <c r="Q1061" t="s">
        <v>5731</v>
      </c>
      <c r="R1061" t="s">
        <v>5753</v>
      </c>
      <c r="S1061" t="s">
        <v>5759</v>
      </c>
      <c r="T1061" t="s">
        <v>4276</v>
      </c>
      <c r="V1061" t="s">
        <v>5767</v>
      </c>
      <c r="X1061" t="s">
        <v>133</v>
      </c>
      <c r="Y1061">
        <v>2324</v>
      </c>
      <c r="Z1061" t="s">
        <v>5803</v>
      </c>
      <c r="AA1061" t="s">
        <v>5804</v>
      </c>
      <c r="AB1061" t="s">
        <v>5821</v>
      </c>
      <c r="AC1061" t="s">
        <v>6801</v>
      </c>
      <c r="AD1061" t="s">
        <v>4700</v>
      </c>
      <c r="AE1061" t="s">
        <v>8785</v>
      </c>
      <c r="AF1061">
        <v>232</v>
      </c>
      <c r="AG1061" t="s">
        <v>9272</v>
      </c>
      <c r="AH1061" t="s">
        <v>4280</v>
      </c>
      <c r="AI1061">
        <v>3</v>
      </c>
      <c r="AJ1061">
        <v>4</v>
      </c>
      <c r="AK1061">
        <v>2</v>
      </c>
      <c r="AL1061">
        <v>163.01</v>
      </c>
      <c r="AO1061" t="s">
        <v>1425</v>
      </c>
      <c r="AP1061">
        <v>55000</v>
      </c>
      <c r="AV1061">
        <v>0.6</v>
      </c>
      <c r="AW1061" t="s">
        <v>73</v>
      </c>
    </row>
    <row r="1062" spans="1:49">
      <c r="A1062" s="1">
        <f>HYPERLINK("https://cms.ls-nyc.org/matter/dynamic-profile/view/1882369","18-1882369")</f>
        <v>0</v>
      </c>
      <c r="B1062" t="s">
        <v>73</v>
      </c>
      <c r="C1062" t="s">
        <v>82</v>
      </c>
      <c r="D1062" t="s">
        <v>268</v>
      </c>
      <c r="E1062" t="s">
        <v>280</v>
      </c>
      <c r="F1062" t="s">
        <v>386</v>
      </c>
      <c r="G1062" t="s">
        <v>1802</v>
      </c>
      <c r="H1062" t="s">
        <v>3404</v>
      </c>
      <c r="I1062" t="s">
        <v>3952</v>
      </c>
      <c r="J1062" t="s">
        <v>4245</v>
      </c>
      <c r="K1062">
        <v>11418</v>
      </c>
      <c r="L1062" t="s">
        <v>4276</v>
      </c>
      <c r="M1062" t="s">
        <v>4275</v>
      </c>
      <c r="O1062" t="s">
        <v>4282</v>
      </c>
      <c r="P1062" t="s">
        <v>5227</v>
      </c>
      <c r="Q1062" t="s">
        <v>5733</v>
      </c>
      <c r="R1062" t="s">
        <v>5753</v>
      </c>
      <c r="S1062" t="s">
        <v>5759</v>
      </c>
      <c r="T1062" t="s">
        <v>4276</v>
      </c>
      <c r="V1062" t="s">
        <v>5767</v>
      </c>
      <c r="W1062" t="s">
        <v>5772</v>
      </c>
      <c r="Y1062">
        <v>1500</v>
      </c>
      <c r="Z1062" t="s">
        <v>5803</v>
      </c>
      <c r="AA1062" t="s">
        <v>5804</v>
      </c>
      <c r="AB1062" t="s">
        <v>5821</v>
      </c>
      <c r="AC1062" t="s">
        <v>6802</v>
      </c>
      <c r="AD1062" t="s">
        <v>7672</v>
      </c>
      <c r="AE1062" t="s">
        <v>8786</v>
      </c>
      <c r="AF1062">
        <v>3</v>
      </c>
      <c r="AG1062" t="s">
        <v>9269</v>
      </c>
      <c r="AH1062" t="s">
        <v>4280</v>
      </c>
      <c r="AI1062">
        <v>2</v>
      </c>
      <c r="AJ1062">
        <v>2</v>
      </c>
      <c r="AK1062">
        <v>3</v>
      </c>
      <c r="AL1062">
        <v>190.35</v>
      </c>
      <c r="AO1062" t="s">
        <v>1425</v>
      </c>
      <c r="AP1062">
        <v>56000</v>
      </c>
      <c r="AV1062">
        <v>0.1</v>
      </c>
      <c r="AW1062" t="s">
        <v>73</v>
      </c>
    </row>
    <row r="1063" spans="1:49">
      <c r="A1063" s="1">
        <f>HYPERLINK("https://cms.ls-nyc.org/matter/dynamic-profile/view/1874893","18-1874893")</f>
        <v>0</v>
      </c>
      <c r="B1063" t="s">
        <v>73</v>
      </c>
      <c r="C1063" t="s">
        <v>82</v>
      </c>
      <c r="D1063" t="s">
        <v>85</v>
      </c>
      <c r="E1063" t="s">
        <v>265</v>
      </c>
      <c r="F1063" t="s">
        <v>1089</v>
      </c>
      <c r="G1063" t="s">
        <v>2158</v>
      </c>
      <c r="H1063" t="s">
        <v>3405</v>
      </c>
      <c r="I1063" t="s">
        <v>4102</v>
      </c>
      <c r="J1063" t="s">
        <v>4252</v>
      </c>
      <c r="K1063">
        <v>11374</v>
      </c>
      <c r="L1063" t="s">
        <v>4275</v>
      </c>
      <c r="M1063" t="s">
        <v>4275</v>
      </c>
      <c r="O1063" t="s">
        <v>4284</v>
      </c>
      <c r="P1063" t="s">
        <v>5228</v>
      </c>
      <c r="Q1063" t="s">
        <v>5732</v>
      </c>
      <c r="R1063" t="s">
        <v>5753</v>
      </c>
      <c r="S1063" t="s">
        <v>5759</v>
      </c>
      <c r="T1063" t="s">
        <v>4276</v>
      </c>
      <c r="V1063" t="s">
        <v>5767</v>
      </c>
      <c r="W1063" t="s">
        <v>5772</v>
      </c>
      <c r="X1063" t="s">
        <v>118</v>
      </c>
      <c r="Y1063">
        <v>1800</v>
      </c>
      <c r="Z1063" t="s">
        <v>5803</v>
      </c>
      <c r="AA1063" t="s">
        <v>5815</v>
      </c>
      <c r="AB1063" t="s">
        <v>5821</v>
      </c>
      <c r="AC1063" t="s">
        <v>6803</v>
      </c>
      <c r="AD1063" t="s">
        <v>4280</v>
      </c>
      <c r="AE1063" t="s">
        <v>8787</v>
      </c>
      <c r="AF1063">
        <v>15</v>
      </c>
      <c r="AG1063" t="s">
        <v>9269</v>
      </c>
      <c r="AH1063" t="s">
        <v>4280</v>
      </c>
      <c r="AI1063">
        <v>6</v>
      </c>
      <c r="AJ1063">
        <v>1</v>
      </c>
      <c r="AK1063">
        <v>2</v>
      </c>
      <c r="AL1063">
        <v>230.99</v>
      </c>
      <c r="AM1063" t="s">
        <v>9291</v>
      </c>
      <c r="AN1063" t="s">
        <v>9295</v>
      </c>
      <c r="AO1063" t="s">
        <v>9313</v>
      </c>
      <c r="AP1063">
        <v>48000</v>
      </c>
      <c r="AV1063">
        <v>1</v>
      </c>
      <c r="AW1063" t="s">
        <v>73</v>
      </c>
    </row>
    <row r="1064" spans="1:49">
      <c r="A1064" s="1">
        <f>HYPERLINK("https://cms.ls-nyc.org/matter/dynamic-profile/view/1881542","18-1881542")</f>
        <v>0</v>
      </c>
      <c r="B1064" t="s">
        <v>73</v>
      </c>
      <c r="C1064" t="s">
        <v>82</v>
      </c>
      <c r="D1064" t="s">
        <v>269</v>
      </c>
      <c r="E1064" t="s">
        <v>282</v>
      </c>
      <c r="F1064" t="s">
        <v>780</v>
      </c>
      <c r="G1064" t="s">
        <v>2159</v>
      </c>
      <c r="H1064" t="s">
        <v>3087</v>
      </c>
      <c r="I1064" t="s">
        <v>3886</v>
      </c>
      <c r="J1064" t="s">
        <v>4240</v>
      </c>
      <c r="K1064">
        <v>11373</v>
      </c>
      <c r="L1064" t="s">
        <v>4275</v>
      </c>
      <c r="M1064" t="s">
        <v>4275</v>
      </c>
      <c r="O1064" t="s">
        <v>4281</v>
      </c>
      <c r="P1064" t="s">
        <v>5229</v>
      </c>
      <c r="Q1064" t="s">
        <v>5731</v>
      </c>
      <c r="R1064" t="s">
        <v>5754</v>
      </c>
      <c r="S1064" t="s">
        <v>5759</v>
      </c>
      <c r="T1064" t="s">
        <v>4276</v>
      </c>
      <c r="V1064" t="s">
        <v>5767</v>
      </c>
      <c r="W1064" t="s">
        <v>5771</v>
      </c>
      <c r="X1064" t="s">
        <v>269</v>
      </c>
      <c r="Y1064">
        <v>1935</v>
      </c>
      <c r="Z1064" t="s">
        <v>5803</v>
      </c>
      <c r="AA1064" t="s">
        <v>5808</v>
      </c>
      <c r="AB1064" t="s">
        <v>5821</v>
      </c>
      <c r="AC1064" t="s">
        <v>6804</v>
      </c>
      <c r="AD1064" t="s">
        <v>4700</v>
      </c>
      <c r="AE1064" t="s">
        <v>8788</v>
      </c>
      <c r="AF1064">
        <v>107</v>
      </c>
      <c r="AG1064" t="s">
        <v>9272</v>
      </c>
      <c r="AH1064" t="s">
        <v>4280</v>
      </c>
      <c r="AI1064">
        <v>17</v>
      </c>
      <c r="AJ1064">
        <v>2</v>
      </c>
      <c r="AK1064">
        <v>0</v>
      </c>
      <c r="AL1064">
        <v>352.37</v>
      </c>
      <c r="AO1064" t="s">
        <v>1425</v>
      </c>
      <c r="AP1064">
        <v>58000</v>
      </c>
      <c r="AV1064">
        <v>0.5</v>
      </c>
      <c r="AW1064" t="s">
        <v>73</v>
      </c>
    </row>
    <row r="1065" spans="1:49">
      <c r="A1065" s="1">
        <f>HYPERLINK("https://cms.ls-nyc.org/matter/dynamic-profile/view/1896146","19-1896146")</f>
        <v>0</v>
      </c>
      <c r="B1065" t="s">
        <v>74</v>
      </c>
      <c r="C1065" t="s">
        <v>82</v>
      </c>
      <c r="D1065" t="s">
        <v>138</v>
      </c>
      <c r="E1065" t="s">
        <v>141</v>
      </c>
      <c r="F1065" t="s">
        <v>355</v>
      </c>
      <c r="G1065" t="s">
        <v>2160</v>
      </c>
      <c r="H1065" t="s">
        <v>3406</v>
      </c>
      <c r="I1065">
        <v>1</v>
      </c>
      <c r="J1065" t="s">
        <v>4254</v>
      </c>
      <c r="K1065">
        <v>11692</v>
      </c>
      <c r="L1065" t="s">
        <v>4275</v>
      </c>
      <c r="M1065" t="s">
        <v>4275</v>
      </c>
      <c r="O1065" t="s">
        <v>4283</v>
      </c>
      <c r="P1065" t="s">
        <v>5230</v>
      </c>
      <c r="Q1065" t="s">
        <v>5733</v>
      </c>
      <c r="R1065" t="s">
        <v>5753</v>
      </c>
      <c r="S1065" t="s">
        <v>5759</v>
      </c>
      <c r="T1065" t="s">
        <v>4276</v>
      </c>
      <c r="V1065" t="s">
        <v>5767</v>
      </c>
      <c r="W1065" t="s">
        <v>5772</v>
      </c>
      <c r="X1065" t="s">
        <v>132</v>
      </c>
      <c r="Y1065">
        <v>1800</v>
      </c>
      <c r="Z1065" t="s">
        <v>5803</v>
      </c>
      <c r="AA1065" t="s">
        <v>5804</v>
      </c>
      <c r="AB1065" t="s">
        <v>5821</v>
      </c>
      <c r="AC1065" t="s">
        <v>6805</v>
      </c>
      <c r="AD1065" t="s">
        <v>7673</v>
      </c>
      <c r="AE1065" t="s">
        <v>8789</v>
      </c>
      <c r="AF1065">
        <v>2</v>
      </c>
      <c r="AG1065" t="s">
        <v>9269</v>
      </c>
      <c r="AH1065" t="s">
        <v>9282</v>
      </c>
      <c r="AI1065">
        <v>1</v>
      </c>
      <c r="AJ1065">
        <v>1</v>
      </c>
      <c r="AK1065">
        <v>1</v>
      </c>
      <c r="AL1065">
        <v>0</v>
      </c>
      <c r="AO1065" t="s">
        <v>1425</v>
      </c>
      <c r="AP1065">
        <v>0</v>
      </c>
      <c r="AV1065">
        <v>2</v>
      </c>
      <c r="AW1065" t="s">
        <v>74</v>
      </c>
    </row>
    <row r="1066" spans="1:49">
      <c r="A1066" s="1">
        <f>HYPERLINK("https://cms.ls-nyc.org/matter/dynamic-profile/view/1876892","18-1876892")</f>
        <v>0</v>
      </c>
      <c r="B1066" t="s">
        <v>74</v>
      </c>
      <c r="C1066" t="s">
        <v>82</v>
      </c>
      <c r="D1066" t="s">
        <v>120</v>
      </c>
      <c r="E1066" t="s">
        <v>252</v>
      </c>
      <c r="F1066" t="s">
        <v>1025</v>
      </c>
      <c r="G1066" t="s">
        <v>1828</v>
      </c>
      <c r="H1066" t="s">
        <v>2656</v>
      </c>
      <c r="I1066">
        <v>806</v>
      </c>
      <c r="J1066" t="s">
        <v>4254</v>
      </c>
      <c r="K1066">
        <v>11692</v>
      </c>
      <c r="L1066" t="s">
        <v>4275</v>
      </c>
      <c r="M1066" t="s">
        <v>4275</v>
      </c>
      <c r="O1066" t="s">
        <v>4283</v>
      </c>
      <c r="P1066" t="s">
        <v>5231</v>
      </c>
      <c r="Q1066" t="s">
        <v>5731</v>
      </c>
      <c r="R1066" t="s">
        <v>5753</v>
      </c>
      <c r="S1066" t="s">
        <v>5759</v>
      </c>
      <c r="T1066" t="s">
        <v>4276</v>
      </c>
      <c r="V1066" t="s">
        <v>5767</v>
      </c>
      <c r="W1066" t="s">
        <v>5773</v>
      </c>
      <c r="X1066" t="s">
        <v>120</v>
      </c>
      <c r="Y1066">
        <v>1675</v>
      </c>
      <c r="Z1066" t="s">
        <v>5803</v>
      </c>
      <c r="AA1066" t="s">
        <v>5804</v>
      </c>
      <c r="AB1066" t="s">
        <v>5821</v>
      </c>
      <c r="AC1066" t="s">
        <v>6806</v>
      </c>
      <c r="AD1066" t="s">
        <v>7674</v>
      </c>
      <c r="AE1066" t="s">
        <v>8790</v>
      </c>
      <c r="AF1066">
        <v>103</v>
      </c>
      <c r="AG1066" t="s">
        <v>9268</v>
      </c>
      <c r="AH1066" t="s">
        <v>9282</v>
      </c>
      <c r="AI1066">
        <v>5</v>
      </c>
      <c r="AJ1066">
        <v>1</v>
      </c>
      <c r="AK1066">
        <v>2</v>
      </c>
      <c r="AL1066">
        <v>0</v>
      </c>
      <c r="AO1066" t="s">
        <v>1425</v>
      </c>
      <c r="AP1066">
        <v>0</v>
      </c>
      <c r="AV1066">
        <v>0.6</v>
      </c>
      <c r="AW1066" t="s">
        <v>73</v>
      </c>
    </row>
    <row r="1067" spans="1:49">
      <c r="A1067" s="1">
        <f>HYPERLINK("https://cms.ls-nyc.org/matter/dynamic-profile/view/1894309","19-1894309")</f>
        <v>0</v>
      </c>
      <c r="B1067" t="s">
        <v>74</v>
      </c>
      <c r="C1067" t="s">
        <v>83</v>
      </c>
      <c r="D1067" t="s">
        <v>211</v>
      </c>
      <c r="F1067" t="s">
        <v>1090</v>
      </c>
      <c r="G1067" t="s">
        <v>2161</v>
      </c>
      <c r="H1067" t="s">
        <v>3407</v>
      </c>
      <c r="I1067">
        <v>2</v>
      </c>
      <c r="J1067" t="s">
        <v>4222</v>
      </c>
      <c r="K1067">
        <v>11435</v>
      </c>
      <c r="L1067" t="s">
        <v>4275</v>
      </c>
      <c r="M1067" t="s">
        <v>4275</v>
      </c>
      <c r="O1067" t="s">
        <v>4282</v>
      </c>
      <c r="P1067" t="s">
        <v>5232</v>
      </c>
      <c r="Q1067" t="s">
        <v>5732</v>
      </c>
      <c r="R1067" t="s">
        <v>5753</v>
      </c>
      <c r="V1067" t="s">
        <v>5767</v>
      </c>
      <c r="Y1067">
        <v>1050</v>
      </c>
      <c r="Z1067" t="s">
        <v>5803</v>
      </c>
      <c r="AA1067" t="s">
        <v>5804</v>
      </c>
      <c r="AC1067" t="s">
        <v>6343</v>
      </c>
      <c r="AE1067" t="s">
        <v>8791</v>
      </c>
      <c r="AF1067">
        <v>2</v>
      </c>
      <c r="AG1067" t="s">
        <v>9269</v>
      </c>
      <c r="AH1067" t="s">
        <v>4280</v>
      </c>
      <c r="AI1067">
        <v>1</v>
      </c>
      <c r="AJ1067">
        <v>2</v>
      </c>
      <c r="AK1067">
        <v>1</v>
      </c>
      <c r="AL1067">
        <v>0</v>
      </c>
      <c r="AP1067">
        <v>0</v>
      </c>
      <c r="AV1067">
        <v>2.1</v>
      </c>
      <c r="AW1067" t="s">
        <v>74</v>
      </c>
    </row>
    <row r="1068" spans="1:49">
      <c r="A1068" s="1">
        <f>HYPERLINK("https://cms.ls-nyc.org/matter/dynamic-profile/view/1901047","19-1901047")</f>
        <v>0</v>
      </c>
      <c r="B1068" t="s">
        <v>74</v>
      </c>
      <c r="C1068" t="s">
        <v>83</v>
      </c>
      <c r="D1068" t="s">
        <v>217</v>
      </c>
      <c r="F1068" t="s">
        <v>684</v>
      </c>
      <c r="G1068" t="s">
        <v>2162</v>
      </c>
      <c r="H1068" t="s">
        <v>3408</v>
      </c>
      <c r="I1068" t="s">
        <v>4127</v>
      </c>
      <c r="J1068" t="s">
        <v>4222</v>
      </c>
      <c r="K1068">
        <v>11434</v>
      </c>
      <c r="L1068" t="s">
        <v>4277</v>
      </c>
      <c r="M1068" t="s">
        <v>4277</v>
      </c>
      <c r="O1068" t="s">
        <v>4282</v>
      </c>
      <c r="P1068" t="s">
        <v>5233</v>
      </c>
      <c r="Q1068" t="s">
        <v>5732</v>
      </c>
      <c r="V1068" t="s">
        <v>5767</v>
      </c>
      <c r="Y1068">
        <v>1400</v>
      </c>
      <c r="Z1068" t="s">
        <v>5803</v>
      </c>
      <c r="AC1068" t="s">
        <v>6807</v>
      </c>
      <c r="AE1068" t="s">
        <v>8792</v>
      </c>
      <c r="AF1068">
        <v>2</v>
      </c>
      <c r="AH1068" t="s">
        <v>4280</v>
      </c>
      <c r="AI1068">
        <v>1</v>
      </c>
      <c r="AJ1068">
        <v>2</v>
      </c>
      <c r="AK1068">
        <v>0</v>
      </c>
      <c r="AL1068">
        <v>0</v>
      </c>
      <c r="AP1068">
        <v>0</v>
      </c>
      <c r="AV1068">
        <v>19</v>
      </c>
      <c r="AW1068" t="s">
        <v>74</v>
      </c>
    </row>
    <row r="1069" spans="1:49">
      <c r="A1069" s="1">
        <f>HYPERLINK("https://cms.ls-nyc.org/matter/dynamic-profile/view/1895861","19-1895861")</f>
        <v>0</v>
      </c>
      <c r="B1069" t="s">
        <v>74</v>
      </c>
      <c r="C1069" t="s">
        <v>82</v>
      </c>
      <c r="D1069" t="s">
        <v>94</v>
      </c>
      <c r="E1069" t="s">
        <v>141</v>
      </c>
      <c r="F1069" t="s">
        <v>1091</v>
      </c>
      <c r="G1069" t="s">
        <v>2163</v>
      </c>
      <c r="H1069" t="s">
        <v>3409</v>
      </c>
      <c r="I1069" t="s">
        <v>3902</v>
      </c>
      <c r="J1069" t="s">
        <v>4222</v>
      </c>
      <c r="K1069">
        <v>11434</v>
      </c>
      <c r="L1069" t="s">
        <v>4275</v>
      </c>
      <c r="M1069" t="s">
        <v>4275</v>
      </c>
      <c r="O1069" t="s">
        <v>4283</v>
      </c>
      <c r="P1069" t="s">
        <v>5234</v>
      </c>
      <c r="Q1069" t="s">
        <v>5733</v>
      </c>
      <c r="R1069" t="s">
        <v>5753</v>
      </c>
      <c r="S1069" t="s">
        <v>5759</v>
      </c>
      <c r="V1069" t="s">
        <v>5767</v>
      </c>
      <c r="X1069" t="s">
        <v>5796</v>
      </c>
      <c r="Y1069">
        <v>1213</v>
      </c>
      <c r="Z1069" t="s">
        <v>5803</v>
      </c>
      <c r="AB1069" t="s">
        <v>5821</v>
      </c>
      <c r="AC1069" t="s">
        <v>6808</v>
      </c>
      <c r="AD1069">
        <v>6004868713</v>
      </c>
      <c r="AE1069" t="s">
        <v>8793</v>
      </c>
      <c r="AF1069">
        <v>2</v>
      </c>
      <c r="AH1069" t="s">
        <v>9288</v>
      </c>
      <c r="AI1069">
        <v>1</v>
      </c>
      <c r="AJ1069">
        <v>1</v>
      </c>
      <c r="AK1069">
        <v>0</v>
      </c>
      <c r="AL1069">
        <v>0</v>
      </c>
      <c r="AP1069">
        <v>0</v>
      </c>
      <c r="AV1069">
        <v>2.25</v>
      </c>
      <c r="AW1069" t="s">
        <v>74</v>
      </c>
    </row>
    <row r="1070" spans="1:49">
      <c r="A1070" s="1">
        <f>HYPERLINK("https://cms.ls-nyc.org/matter/dynamic-profile/view/1899466","19-1899466")</f>
        <v>0</v>
      </c>
      <c r="B1070" t="s">
        <v>74</v>
      </c>
      <c r="C1070" t="s">
        <v>83</v>
      </c>
      <c r="D1070" t="s">
        <v>124</v>
      </c>
      <c r="F1070" t="s">
        <v>1092</v>
      </c>
      <c r="G1070" t="s">
        <v>2164</v>
      </c>
      <c r="H1070" t="s">
        <v>3410</v>
      </c>
      <c r="I1070" t="s">
        <v>3856</v>
      </c>
      <c r="J1070" t="s">
        <v>4222</v>
      </c>
      <c r="K1070">
        <v>11434</v>
      </c>
      <c r="L1070" t="s">
        <v>4275</v>
      </c>
      <c r="M1070" t="s">
        <v>4277</v>
      </c>
      <c r="N1070" t="s">
        <v>4278</v>
      </c>
      <c r="O1070" t="s">
        <v>4281</v>
      </c>
      <c r="P1070" t="s">
        <v>5235</v>
      </c>
      <c r="Q1070" t="s">
        <v>5731</v>
      </c>
      <c r="T1070" t="s">
        <v>4276</v>
      </c>
      <c r="V1070" t="s">
        <v>5767</v>
      </c>
      <c r="X1070" t="s">
        <v>161</v>
      </c>
      <c r="Y1070">
        <v>1500</v>
      </c>
      <c r="Z1070" t="s">
        <v>5803</v>
      </c>
      <c r="AC1070" t="s">
        <v>6809</v>
      </c>
      <c r="AD1070" t="s">
        <v>7675</v>
      </c>
      <c r="AE1070" t="s">
        <v>8794</v>
      </c>
      <c r="AF1070">
        <v>4</v>
      </c>
      <c r="AG1070" t="s">
        <v>9269</v>
      </c>
      <c r="AI1070">
        <v>2</v>
      </c>
      <c r="AJ1070">
        <v>1</v>
      </c>
      <c r="AK1070">
        <v>2</v>
      </c>
      <c r="AL1070">
        <v>0</v>
      </c>
      <c r="AO1070" t="s">
        <v>1425</v>
      </c>
      <c r="AP1070">
        <v>0</v>
      </c>
      <c r="AV1070">
        <v>15.6</v>
      </c>
      <c r="AW1070" t="s">
        <v>74</v>
      </c>
    </row>
    <row r="1071" spans="1:49">
      <c r="A1071" s="1">
        <f>HYPERLINK("https://cms.ls-nyc.org/matter/dynamic-profile/view/1899083","19-1899083")</f>
        <v>0</v>
      </c>
      <c r="B1071" t="s">
        <v>74</v>
      </c>
      <c r="C1071" t="s">
        <v>82</v>
      </c>
      <c r="D1071" t="s">
        <v>270</v>
      </c>
      <c r="E1071" t="s">
        <v>270</v>
      </c>
      <c r="F1071" t="s">
        <v>1093</v>
      </c>
      <c r="G1071" t="s">
        <v>2165</v>
      </c>
      <c r="H1071" t="s">
        <v>3411</v>
      </c>
      <c r="I1071" t="s">
        <v>3842</v>
      </c>
      <c r="J1071" t="s">
        <v>4249</v>
      </c>
      <c r="K1071">
        <v>11428</v>
      </c>
      <c r="L1071" t="s">
        <v>4275</v>
      </c>
      <c r="M1071" t="s">
        <v>4277</v>
      </c>
      <c r="N1071" t="s">
        <v>4280</v>
      </c>
      <c r="O1071" t="s">
        <v>4284</v>
      </c>
      <c r="P1071" t="s">
        <v>4700</v>
      </c>
      <c r="Q1071" t="s">
        <v>4698</v>
      </c>
      <c r="R1071" t="s">
        <v>5753</v>
      </c>
      <c r="S1071" t="s">
        <v>5759</v>
      </c>
      <c r="T1071" t="s">
        <v>4276</v>
      </c>
      <c r="V1071" t="s">
        <v>5767</v>
      </c>
      <c r="W1071" t="s">
        <v>5772</v>
      </c>
      <c r="X1071" t="s">
        <v>270</v>
      </c>
      <c r="Y1071">
        <v>1250</v>
      </c>
      <c r="Z1071" t="s">
        <v>5803</v>
      </c>
      <c r="AA1071" t="s">
        <v>5815</v>
      </c>
      <c r="AB1071" t="s">
        <v>5821</v>
      </c>
      <c r="AC1071" t="s">
        <v>6810</v>
      </c>
      <c r="AE1071" t="s">
        <v>7289</v>
      </c>
      <c r="AF1071">
        <v>3</v>
      </c>
      <c r="AG1071" t="s">
        <v>9269</v>
      </c>
      <c r="AH1071" t="s">
        <v>4280</v>
      </c>
      <c r="AI1071">
        <v>2</v>
      </c>
      <c r="AJ1071">
        <v>3</v>
      </c>
      <c r="AK1071">
        <v>2</v>
      </c>
      <c r="AL1071">
        <v>0</v>
      </c>
      <c r="AO1071" t="s">
        <v>1425</v>
      </c>
      <c r="AP1071">
        <v>0</v>
      </c>
      <c r="AV1071">
        <v>1.6</v>
      </c>
      <c r="AW1071" t="s">
        <v>74</v>
      </c>
    </row>
    <row r="1072" spans="1:49">
      <c r="A1072" s="1">
        <f>HYPERLINK("https://cms.ls-nyc.org/matter/dynamic-profile/view/1880132","18-1880132")</f>
        <v>0</v>
      </c>
      <c r="B1072" t="s">
        <v>74</v>
      </c>
      <c r="C1072" t="s">
        <v>83</v>
      </c>
      <c r="D1072" t="s">
        <v>184</v>
      </c>
      <c r="F1072" t="s">
        <v>1094</v>
      </c>
      <c r="G1072" t="s">
        <v>1790</v>
      </c>
      <c r="H1072" t="s">
        <v>3412</v>
      </c>
      <c r="I1072" t="s">
        <v>3901</v>
      </c>
      <c r="J1072" t="s">
        <v>4233</v>
      </c>
      <c r="K1072">
        <v>11375</v>
      </c>
      <c r="L1072" t="s">
        <v>4275</v>
      </c>
      <c r="M1072" t="s">
        <v>4275</v>
      </c>
      <c r="O1072" t="s">
        <v>4282</v>
      </c>
      <c r="P1072" t="s">
        <v>5236</v>
      </c>
      <c r="Q1072" t="s">
        <v>5749</v>
      </c>
      <c r="T1072" t="s">
        <v>5765</v>
      </c>
      <c r="V1072" t="s">
        <v>5767</v>
      </c>
      <c r="Y1072">
        <v>801.6799999999999</v>
      </c>
      <c r="Z1072" t="s">
        <v>5803</v>
      </c>
      <c r="AA1072" t="s">
        <v>5804</v>
      </c>
      <c r="AC1072" t="s">
        <v>6811</v>
      </c>
      <c r="AE1072" t="s">
        <v>8795</v>
      </c>
      <c r="AF1072">
        <v>48</v>
      </c>
      <c r="AH1072" t="s">
        <v>4280</v>
      </c>
      <c r="AI1072">
        <v>46</v>
      </c>
      <c r="AJ1072">
        <v>2</v>
      </c>
      <c r="AK1072">
        <v>1</v>
      </c>
      <c r="AL1072">
        <v>0</v>
      </c>
      <c r="AP1072">
        <v>0</v>
      </c>
      <c r="AV1072">
        <v>3.6</v>
      </c>
      <c r="AW1072" t="s">
        <v>74</v>
      </c>
    </row>
    <row r="1073" spans="1:49">
      <c r="A1073" s="1">
        <f>HYPERLINK("https://cms.ls-nyc.org/matter/dynamic-profile/view/1874571","18-1874571")</f>
        <v>0</v>
      </c>
      <c r="B1073" t="s">
        <v>74</v>
      </c>
      <c r="C1073" t="s">
        <v>82</v>
      </c>
      <c r="D1073" t="s">
        <v>103</v>
      </c>
      <c r="E1073" t="s">
        <v>268</v>
      </c>
      <c r="F1073" t="s">
        <v>1095</v>
      </c>
      <c r="G1073" t="s">
        <v>2166</v>
      </c>
      <c r="H1073" t="s">
        <v>3413</v>
      </c>
      <c r="I1073" t="s">
        <v>3985</v>
      </c>
      <c r="J1073" t="s">
        <v>4240</v>
      </c>
      <c r="K1073">
        <v>11373</v>
      </c>
      <c r="L1073" t="s">
        <v>4275</v>
      </c>
      <c r="M1073" t="s">
        <v>4275</v>
      </c>
      <c r="O1073" t="s">
        <v>4281</v>
      </c>
      <c r="P1073" t="s">
        <v>5237</v>
      </c>
      <c r="Q1073" t="s">
        <v>5732</v>
      </c>
      <c r="R1073" t="s">
        <v>5753</v>
      </c>
      <c r="S1073" t="s">
        <v>5759</v>
      </c>
      <c r="T1073" t="s">
        <v>4276</v>
      </c>
      <c r="V1073" t="s">
        <v>5767</v>
      </c>
      <c r="W1073" t="s">
        <v>5772</v>
      </c>
      <c r="X1073" t="s">
        <v>103</v>
      </c>
      <c r="Y1073">
        <v>1300</v>
      </c>
      <c r="Z1073" t="s">
        <v>5803</v>
      </c>
      <c r="AA1073" t="s">
        <v>5804</v>
      </c>
      <c r="AB1073" t="s">
        <v>5821</v>
      </c>
      <c r="AC1073" t="s">
        <v>6812</v>
      </c>
      <c r="AD1073" t="s">
        <v>4280</v>
      </c>
      <c r="AE1073" t="s">
        <v>7289</v>
      </c>
      <c r="AF1073">
        <v>2</v>
      </c>
      <c r="AG1073" t="s">
        <v>9269</v>
      </c>
      <c r="AH1073" t="s">
        <v>4280</v>
      </c>
      <c r="AI1073">
        <v>8</v>
      </c>
      <c r="AJ1073">
        <v>1</v>
      </c>
      <c r="AK1073">
        <v>0</v>
      </c>
      <c r="AL1073">
        <v>0</v>
      </c>
      <c r="AO1073" t="s">
        <v>9306</v>
      </c>
      <c r="AP1073">
        <v>0</v>
      </c>
      <c r="AV1073">
        <v>1</v>
      </c>
      <c r="AW1073" t="s">
        <v>73</v>
      </c>
    </row>
    <row r="1074" spans="1:49">
      <c r="A1074" s="1">
        <f>HYPERLINK("https://cms.ls-nyc.org/matter/dynamic-profile/view/1885643","18-1885643")</f>
        <v>0</v>
      </c>
      <c r="B1074" t="s">
        <v>74</v>
      </c>
      <c r="C1074" t="s">
        <v>82</v>
      </c>
      <c r="D1074" t="s">
        <v>187</v>
      </c>
      <c r="E1074" t="s">
        <v>265</v>
      </c>
      <c r="F1074" t="s">
        <v>604</v>
      </c>
      <c r="G1074" t="s">
        <v>1811</v>
      </c>
      <c r="H1074" t="s">
        <v>3414</v>
      </c>
      <c r="I1074" t="s">
        <v>3878</v>
      </c>
      <c r="J1074" t="s">
        <v>4258</v>
      </c>
      <c r="K1074">
        <v>11370</v>
      </c>
      <c r="L1074" t="s">
        <v>4275</v>
      </c>
      <c r="M1074" t="s">
        <v>4275</v>
      </c>
      <c r="O1074" t="s">
        <v>4283</v>
      </c>
      <c r="P1074" t="s">
        <v>5238</v>
      </c>
      <c r="Q1074" t="s">
        <v>5734</v>
      </c>
      <c r="R1074" t="s">
        <v>5753</v>
      </c>
      <c r="S1074" t="s">
        <v>5759</v>
      </c>
      <c r="T1074" t="s">
        <v>4276</v>
      </c>
      <c r="V1074" t="s">
        <v>5767</v>
      </c>
      <c r="W1074" t="s">
        <v>5772</v>
      </c>
      <c r="X1074" t="s">
        <v>187</v>
      </c>
      <c r="Y1074">
        <v>500</v>
      </c>
      <c r="Z1074" t="s">
        <v>5803</v>
      </c>
      <c r="AA1074" t="s">
        <v>5804</v>
      </c>
      <c r="AB1074" t="s">
        <v>5821</v>
      </c>
      <c r="AC1074" t="s">
        <v>6813</v>
      </c>
      <c r="AE1074" t="s">
        <v>8796</v>
      </c>
      <c r="AF1074">
        <v>3</v>
      </c>
      <c r="AG1074" t="s">
        <v>9269</v>
      </c>
      <c r="AH1074" t="s">
        <v>4280</v>
      </c>
      <c r="AI1074">
        <v>1</v>
      </c>
      <c r="AJ1074">
        <v>1</v>
      </c>
      <c r="AK1074">
        <v>0</v>
      </c>
      <c r="AL1074">
        <v>0</v>
      </c>
      <c r="AO1074" t="s">
        <v>9298</v>
      </c>
      <c r="AP1074">
        <v>0</v>
      </c>
      <c r="AV1074">
        <v>1.04</v>
      </c>
      <c r="AW1074" t="s">
        <v>74</v>
      </c>
    </row>
    <row r="1075" spans="1:49">
      <c r="A1075" s="1">
        <f>HYPERLINK("https://cms.ls-nyc.org/matter/dynamic-profile/view/1885103","18-1885103")</f>
        <v>0</v>
      </c>
      <c r="B1075" t="s">
        <v>74</v>
      </c>
      <c r="C1075" t="s">
        <v>83</v>
      </c>
      <c r="D1075" t="s">
        <v>221</v>
      </c>
      <c r="F1075" t="s">
        <v>1096</v>
      </c>
      <c r="G1075" t="s">
        <v>2167</v>
      </c>
      <c r="H1075" t="s">
        <v>3415</v>
      </c>
      <c r="J1075" t="s">
        <v>4241</v>
      </c>
      <c r="K1075">
        <v>11368</v>
      </c>
      <c r="L1075" t="s">
        <v>4276</v>
      </c>
      <c r="M1075" t="s">
        <v>4276</v>
      </c>
      <c r="O1075" t="s">
        <v>4282</v>
      </c>
      <c r="P1075" t="s">
        <v>4700</v>
      </c>
      <c r="Q1075" t="s">
        <v>4698</v>
      </c>
      <c r="V1075" t="s">
        <v>5767</v>
      </c>
      <c r="Y1075">
        <v>700</v>
      </c>
      <c r="Z1075" t="s">
        <v>5803</v>
      </c>
      <c r="AA1075" t="s">
        <v>5812</v>
      </c>
      <c r="AC1075" t="s">
        <v>6814</v>
      </c>
      <c r="AE1075" t="s">
        <v>7289</v>
      </c>
      <c r="AF1075">
        <v>9</v>
      </c>
      <c r="AG1075" t="s">
        <v>9272</v>
      </c>
      <c r="AH1075" t="s">
        <v>4280</v>
      </c>
      <c r="AI1075">
        <v>12</v>
      </c>
      <c r="AJ1075">
        <v>1</v>
      </c>
      <c r="AK1075">
        <v>3</v>
      </c>
      <c r="AL1075">
        <v>0</v>
      </c>
      <c r="AO1075" t="s">
        <v>9298</v>
      </c>
      <c r="AP1075">
        <v>0</v>
      </c>
      <c r="AV1075">
        <v>0</v>
      </c>
      <c r="AW1075" t="s">
        <v>74</v>
      </c>
    </row>
    <row r="1076" spans="1:49">
      <c r="A1076" s="1">
        <f>HYPERLINK("https://cms.ls-nyc.org/matter/dynamic-profile/view/1880573","18-1880573")</f>
        <v>0</v>
      </c>
      <c r="B1076" t="s">
        <v>74</v>
      </c>
      <c r="C1076" t="s">
        <v>82</v>
      </c>
      <c r="D1076" t="s">
        <v>227</v>
      </c>
      <c r="E1076" t="s">
        <v>306</v>
      </c>
      <c r="F1076" t="s">
        <v>667</v>
      </c>
      <c r="G1076" t="s">
        <v>2168</v>
      </c>
      <c r="H1076" t="s">
        <v>3416</v>
      </c>
      <c r="I1076" t="s">
        <v>3975</v>
      </c>
      <c r="J1076" t="s">
        <v>4241</v>
      </c>
      <c r="K1076">
        <v>11368</v>
      </c>
      <c r="L1076" t="s">
        <v>4275</v>
      </c>
      <c r="M1076" t="s">
        <v>4275</v>
      </c>
      <c r="O1076" t="s">
        <v>4282</v>
      </c>
      <c r="P1076" t="s">
        <v>5239</v>
      </c>
      <c r="Q1076" t="s">
        <v>5731</v>
      </c>
      <c r="R1076" t="s">
        <v>5753</v>
      </c>
      <c r="S1076" t="s">
        <v>5759</v>
      </c>
      <c r="T1076" t="s">
        <v>4276</v>
      </c>
      <c r="V1076" t="s">
        <v>5767</v>
      </c>
      <c r="Y1076">
        <v>1890.81</v>
      </c>
      <c r="Z1076" t="s">
        <v>5803</v>
      </c>
      <c r="AA1076" t="s">
        <v>5804</v>
      </c>
      <c r="AB1076" t="s">
        <v>5821</v>
      </c>
      <c r="AC1076" t="s">
        <v>6815</v>
      </c>
      <c r="AD1076" t="s">
        <v>7676</v>
      </c>
      <c r="AE1076" t="s">
        <v>8797</v>
      </c>
      <c r="AF1076">
        <v>360</v>
      </c>
      <c r="AG1076" t="s">
        <v>9272</v>
      </c>
      <c r="AH1076" t="s">
        <v>4280</v>
      </c>
      <c r="AI1076">
        <v>2</v>
      </c>
      <c r="AJ1076">
        <v>2</v>
      </c>
      <c r="AK1076">
        <v>3</v>
      </c>
      <c r="AL1076">
        <v>0</v>
      </c>
      <c r="AO1076" t="s">
        <v>1425</v>
      </c>
      <c r="AP1076">
        <v>0</v>
      </c>
      <c r="AV1076">
        <v>2</v>
      </c>
      <c r="AW1076" t="s">
        <v>74</v>
      </c>
    </row>
    <row r="1077" spans="1:49">
      <c r="A1077" s="1">
        <f>HYPERLINK("https://cms.ls-nyc.org/matter/dynamic-profile/view/1889609","19-1889609")</f>
        <v>0</v>
      </c>
      <c r="B1077" t="s">
        <v>74</v>
      </c>
      <c r="C1077" t="s">
        <v>82</v>
      </c>
      <c r="D1077" t="s">
        <v>171</v>
      </c>
      <c r="E1077" t="s">
        <v>96</v>
      </c>
      <c r="F1077" t="s">
        <v>1097</v>
      </c>
      <c r="G1077" t="s">
        <v>2169</v>
      </c>
      <c r="H1077" t="s">
        <v>2525</v>
      </c>
      <c r="I1077" t="s">
        <v>3883</v>
      </c>
      <c r="J1077" t="s">
        <v>4241</v>
      </c>
      <c r="K1077">
        <v>11368</v>
      </c>
      <c r="L1077" t="s">
        <v>4275</v>
      </c>
      <c r="M1077" t="s">
        <v>4275</v>
      </c>
      <c r="O1077" t="s">
        <v>4282</v>
      </c>
      <c r="P1077" t="s">
        <v>5240</v>
      </c>
      <c r="Q1077" t="s">
        <v>5731</v>
      </c>
      <c r="R1077" t="s">
        <v>5753</v>
      </c>
      <c r="S1077" t="s">
        <v>5759</v>
      </c>
      <c r="T1077" t="s">
        <v>4276</v>
      </c>
      <c r="V1077" t="s">
        <v>5767</v>
      </c>
      <c r="W1077" t="s">
        <v>5772</v>
      </c>
      <c r="X1077" t="s">
        <v>171</v>
      </c>
      <c r="Y1077">
        <v>1820</v>
      </c>
      <c r="Z1077" t="s">
        <v>5803</v>
      </c>
      <c r="AA1077" t="s">
        <v>5804</v>
      </c>
      <c r="AB1077" t="s">
        <v>5821</v>
      </c>
      <c r="AC1077" t="s">
        <v>6816</v>
      </c>
      <c r="AD1077" t="s">
        <v>7677</v>
      </c>
      <c r="AE1077" t="s">
        <v>8798</v>
      </c>
      <c r="AF1077">
        <v>225</v>
      </c>
      <c r="AG1077" t="s">
        <v>9272</v>
      </c>
      <c r="AH1077" t="s">
        <v>4280</v>
      </c>
      <c r="AI1077">
        <v>2</v>
      </c>
      <c r="AJ1077">
        <v>2</v>
      </c>
      <c r="AK1077">
        <v>3</v>
      </c>
      <c r="AL1077">
        <v>0</v>
      </c>
      <c r="AO1077" t="s">
        <v>1425</v>
      </c>
      <c r="AP1077">
        <v>0</v>
      </c>
      <c r="AV1077">
        <v>1</v>
      </c>
      <c r="AW1077" t="s">
        <v>73</v>
      </c>
    </row>
    <row r="1078" spans="1:49">
      <c r="A1078" s="1">
        <f>HYPERLINK("https://cms.ls-nyc.org/matter/dynamic-profile/view/1873375","18-1873375")</f>
        <v>0</v>
      </c>
      <c r="B1078" t="s">
        <v>74</v>
      </c>
      <c r="C1078" t="s">
        <v>83</v>
      </c>
      <c r="D1078" t="s">
        <v>153</v>
      </c>
      <c r="F1078" t="s">
        <v>780</v>
      </c>
      <c r="G1078" t="s">
        <v>2170</v>
      </c>
      <c r="H1078" t="s">
        <v>3417</v>
      </c>
      <c r="I1078" t="s">
        <v>3864</v>
      </c>
      <c r="J1078" t="s">
        <v>4237</v>
      </c>
      <c r="K1078">
        <v>11356</v>
      </c>
      <c r="L1078" t="s">
        <v>4275</v>
      </c>
      <c r="M1078" t="s">
        <v>4275</v>
      </c>
      <c r="O1078" t="s">
        <v>4282</v>
      </c>
      <c r="P1078" t="s">
        <v>5241</v>
      </c>
      <c r="Q1078" t="s">
        <v>5732</v>
      </c>
      <c r="R1078" t="s">
        <v>5753</v>
      </c>
      <c r="T1078" t="s">
        <v>4276</v>
      </c>
      <c r="V1078" t="s">
        <v>5767</v>
      </c>
      <c r="W1078" t="s">
        <v>5772</v>
      </c>
      <c r="X1078" t="s">
        <v>153</v>
      </c>
      <c r="Y1078">
        <v>2500</v>
      </c>
      <c r="Z1078" t="s">
        <v>5803</v>
      </c>
      <c r="AA1078" t="s">
        <v>5804</v>
      </c>
      <c r="AC1078" t="s">
        <v>6817</v>
      </c>
      <c r="AD1078" t="s">
        <v>4280</v>
      </c>
      <c r="AE1078" t="s">
        <v>8799</v>
      </c>
      <c r="AF1078">
        <v>2</v>
      </c>
      <c r="AG1078" t="s">
        <v>9269</v>
      </c>
      <c r="AH1078" t="s">
        <v>4280</v>
      </c>
      <c r="AI1078">
        <v>1</v>
      </c>
      <c r="AJ1078">
        <v>1</v>
      </c>
      <c r="AK1078">
        <v>3</v>
      </c>
      <c r="AL1078">
        <v>0</v>
      </c>
      <c r="AO1078" t="s">
        <v>9298</v>
      </c>
      <c r="AP1078">
        <v>0</v>
      </c>
      <c r="AV1078">
        <v>0.95</v>
      </c>
      <c r="AW1078" t="s">
        <v>73</v>
      </c>
    </row>
    <row r="1079" spans="1:49">
      <c r="A1079" s="1">
        <f>HYPERLINK("https://cms.ls-nyc.org/matter/dynamic-profile/view/1873140","18-1873140")</f>
        <v>0</v>
      </c>
      <c r="B1079" t="s">
        <v>74</v>
      </c>
      <c r="C1079" t="s">
        <v>82</v>
      </c>
      <c r="D1079" t="s">
        <v>133</v>
      </c>
      <c r="E1079" t="s">
        <v>282</v>
      </c>
      <c r="F1079" t="s">
        <v>1098</v>
      </c>
      <c r="G1079" t="s">
        <v>2171</v>
      </c>
      <c r="H1079" t="s">
        <v>3418</v>
      </c>
      <c r="I1079">
        <v>2</v>
      </c>
      <c r="J1079" t="s">
        <v>4222</v>
      </c>
      <c r="K1079">
        <v>11436</v>
      </c>
      <c r="L1079" t="s">
        <v>4275</v>
      </c>
      <c r="M1079" t="s">
        <v>4277</v>
      </c>
      <c r="O1079" t="s">
        <v>4282</v>
      </c>
      <c r="P1079" t="s">
        <v>5242</v>
      </c>
      <c r="Q1079" t="s">
        <v>5732</v>
      </c>
      <c r="R1079" t="s">
        <v>5753</v>
      </c>
      <c r="S1079" t="s">
        <v>5759</v>
      </c>
      <c r="T1079" t="s">
        <v>4276</v>
      </c>
      <c r="V1079" t="s">
        <v>5767</v>
      </c>
      <c r="Y1079">
        <v>1300</v>
      </c>
      <c r="Z1079" t="s">
        <v>5803</v>
      </c>
      <c r="AA1079" t="s">
        <v>5804</v>
      </c>
      <c r="AB1079" t="s">
        <v>5821</v>
      </c>
      <c r="AC1079" t="s">
        <v>6818</v>
      </c>
      <c r="AE1079" t="s">
        <v>8800</v>
      </c>
      <c r="AF1079">
        <v>2</v>
      </c>
      <c r="AG1079" t="s">
        <v>9269</v>
      </c>
      <c r="AH1079" t="s">
        <v>4280</v>
      </c>
      <c r="AI1079">
        <v>5</v>
      </c>
      <c r="AJ1079">
        <v>2</v>
      </c>
      <c r="AK1079">
        <v>1</v>
      </c>
      <c r="AL1079">
        <v>2.25</v>
      </c>
      <c r="AO1079" t="s">
        <v>1425</v>
      </c>
      <c r="AP1079">
        <v>467.25</v>
      </c>
      <c r="AV1079">
        <v>1</v>
      </c>
      <c r="AW1079" t="s">
        <v>74</v>
      </c>
    </row>
    <row r="1080" spans="1:49">
      <c r="A1080" s="1">
        <f>HYPERLINK("https://cms.ls-nyc.org/matter/dynamic-profile/view/1872163","18-1872163")</f>
        <v>0</v>
      </c>
      <c r="B1080" t="s">
        <v>74</v>
      </c>
      <c r="C1080" t="s">
        <v>82</v>
      </c>
      <c r="D1080" t="s">
        <v>192</v>
      </c>
      <c r="E1080" t="s">
        <v>282</v>
      </c>
      <c r="F1080" t="s">
        <v>787</v>
      </c>
      <c r="G1080" t="s">
        <v>1825</v>
      </c>
      <c r="H1080" t="s">
        <v>3036</v>
      </c>
      <c r="I1080" t="s">
        <v>3905</v>
      </c>
      <c r="J1080" t="s">
        <v>4222</v>
      </c>
      <c r="K1080">
        <v>11433</v>
      </c>
      <c r="L1080" t="s">
        <v>4276</v>
      </c>
      <c r="M1080" t="s">
        <v>4277</v>
      </c>
      <c r="O1080" t="s">
        <v>4282</v>
      </c>
      <c r="P1080" t="s">
        <v>5243</v>
      </c>
      <c r="Q1080" t="s">
        <v>5733</v>
      </c>
      <c r="R1080" t="s">
        <v>5753</v>
      </c>
      <c r="S1080" t="s">
        <v>5759</v>
      </c>
      <c r="T1080" t="s">
        <v>4276</v>
      </c>
      <c r="V1080" t="s">
        <v>5767</v>
      </c>
      <c r="Y1080">
        <v>1956</v>
      </c>
      <c r="Z1080" t="s">
        <v>5803</v>
      </c>
      <c r="AA1080" t="s">
        <v>5804</v>
      </c>
      <c r="AB1080" t="s">
        <v>5821</v>
      </c>
      <c r="AC1080" t="s">
        <v>6383</v>
      </c>
      <c r="AE1080" t="s">
        <v>8801</v>
      </c>
      <c r="AF1080">
        <v>2</v>
      </c>
      <c r="AG1080" t="s">
        <v>9269</v>
      </c>
      <c r="AH1080" t="s">
        <v>9286</v>
      </c>
      <c r="AI1080">
        <v>1</v>
      </c>
      <c r="AJ1080">
        <v>3</v>
      </c>
      <c r="AK1080">
        <v>4</v>
      </c>
      <c r="AL1080">
        <v>9.300000000000001</v>
      </c>
      <c r="AO1080" t="s">
        <v>1425</v>
      </c>
      <c r="AP1080">
        <v>3540</v>
      </c>
      <c r="AV1080">
        <v>0.5</v>
      </c>
      <c r="AW1080" t="s">
        <v>74</v>
      </c>
    </row>
    <row r="1081" spans="1:49">
      <c r="A1081" s="1">
        <f>HYPERLINK("https://cms.ls-nyc.org/matter/dynamic-profile/view/1873393","18-1873393")</f>
        <v>0</v>
      </c>
      <c r="B1081" t="s">
        <v>74</v>
      </c>
      <c r="C1081" t="s">
        <v>82</v>
      </c>
      <c r="D1081" t="s">
        <v>153</v>
      </c>
      <c r="E1081" t="s">
        <v>305</v>
      </c>
      <c r="F1081" t="s">
        <v>389</v>
      </c>
      <c r="G1081" t="s">
        <v>1499</v>
      </c>
      <c r="H1081" t="s">
        <v>3419</v>
      </c>
      <c r="I1081" t="s">
        <v>3883</v>
      </c>
      <c r="J1081" t="s">
        <v>4235</v>
      </c>
      <c r="K1081">
        <v>11421</v>
      </c>
      <c r="L1081" t="s">
        <v>4275</v>
      </c>
      <c r="M1081" t="s">
        <v>4275</v>
      </c>
      <c r="O1081" t="s">
        <v>4282</v>
      </c>
      <c r="P1081" t="s">
        <v>5244</v>
      </c>
      <c r="Q1081" t="s">
        <v>5731</v>
      </c>
      <c r="R1081" t="s">
        <v>5752</v>
      </c>
      <c r="S1081" t="s">
        <v>5759</v>
      </c>
      <c r="T1081" t="s">
        <v>4276</v>
      </c>
      <c r="V1081" t="s">
        <v>5767</v>
      </c>
      <c r="X1081" t="s">
        <v>153</v>
      </c>
      <c r="Y1081">
        <v>1095</v>
      </c>
      <c r="Z1081" t="s">
        <v>5803</v>
      </c>
      <c r="AA1081" t="s">
        <v>5804</v>
      </c>
      <c r="AB1081" t="s">
        <v>5821</v>
      </c>
      <c r="AC1081" t="s">
        <v>6819</v>
      </c>
      <c r="AD1081" t="s">
        <v>4280</v>
      </c>
      <c r="AE1081" t="s">
        <v>8802</v>
      </c>
      <c r="AF1081">
        <v>31</v>
      </c>
      <c r="AG1081" t="s">
        <v>9272</v>
      </c>
      <c r="AH1081" t="s">
        <v>4280</v>
      </c>
      <c r="AI1081">
        <v>6</v>
      </c>
      <c r="AJ1081">
        <v>1</v>
      </c>
      <c r="AK1081">
        <v>2</v>
      </c>
      <c r="AL1081">
        <v>12.99</v>
      </c>
      <c r="AO1081" t="s">
        <v>9298</v>
      </c>
      <c r="AP1081">
        <v>2700</v>
      </c>
      <c r="AV1081">
        <v>0.5</v>
      </c>
      <c r="AW1081" t="s">
        <v>73</v>
      </c>
    </row>
    <row r="1082" spans="1:49">
      <c r="A1082" s="1">
        <f>HYPERLINK("https://cms.ls-nyc.org/matter/dynamic-profile/view/1897714","19-1897714")</f>
        <v>0</v>
      </c>
      <c r="B1082" t="s">
        <v>74</v>
      </c>
      <c r="C1082" t="s">
        <v>83</v>
      </c>
      <c r="D1082" t="s">
        <v>155</v>
      </c>
      <c r="F1082" t="s">
        <v>949</v>
      </c>
      <c r="G1082" t="s">
        <v>328</v>
      </c>
      <c r="J1082" t="s">
        <v>4222</v>
      </c>
      <c r="K1082">
        <v>11434</v>
      </c>
      <c r="L1082" t="s">
        <v>4275</v>
      </c>
      <c r="M1082" t="s">
        <v>4275</v>
      </c>
      <c r="O1082" t="s">
        <v>4283</v>
      </c>
      <c r="P1082" t="s">
        <v>5245</v>
      </c>
      <c r="Q1082" t="s">
        <v>5733</v>
      </c>
      <c r="R1082" t="s">
        <v>5753</v>
      </c>
      <c r="T1082" t="s">
        <v>4276</v>
      </c>
      <c r="V1082" t="s">
        <v>5767</v>
      </c>
      <c r="X1082" t="s">
        <v>155</v>
      </c>
      <c r="Y1082">
        <v>2100</v>
      </c>
      <c r="Z1082" t="s">
        <v>5803</v>
      </c>
      <c r="AA1082" t="s">
        <v>5804</v>
      </c>
      <c r="AC1082" t="s">
        <v>6596</v>
      </c>
      <c r="AE1082" t="s">
        <v>8578</v>
      </c>
      <c r="AF1082">
        <v>2</v>
      </c>
      <c r="AG1082" t="s">
        <v>9270</v>
      </c>
      <c r="AH1082" t="s">
        <v>4280</v>
      </c>
      <c r="AI1082">
        <v>2</v>
      </c>
      <c r="AJ1082">
        <v>2</v>
      </c>
      <c r="AK1082">
        <v>1</v>
      </c>
      <c r="AL1082">
        <v>15</v>
      </c>
      <c r="AO1082" t="s">
        <v>1425</v>
      </c>
      <c r="AP1082">
        <v>3200</v>
      </c>
      <c r="AQ1082" t="s">
        <v>9325</v>
      </c>
      <c r="AV1082">
        <v>0</v>
      </c>
      <c r="AW1082" t="s">
        <v>74</v>
      </c>
    </row>
    <row r="1083" spans="1:49">
      <c r="A1083" s="1">
        <f>HYPERLINK("https://cms.ls-nyc.org/matter/dynamic-profile/view/1893303","19-1893303")</f>
        <v>0</v>
      </c>
      <c r="B1083" t="s">
        <v>74</v>
      </c>
      <c r="C1083" t="s">
        <v>82</v>
      </c>
      <c r="D1083" t="s">
        <v>173</v>
      </c>
      <c r="E1083" t="s">
        <v>96</v>
      </c>
      <c r="F1083" t="s">
        <v>548</v>
      </c>
      <c r="G1083" t="s">
        <v>1610</v>
      </c>
      <c r="H1083" t="s">
        <v>2748</v>
      </c>
      <c r="I1083" t="s">
        <v>3892</v>
      </c>
      <c r="J1083" t="s">
        <v>4255</v>
      </c>
      <c r="K1083">
        <v>11372</v>
      </c>
      <c r="L1083" t="s">
        <v>4275</v>
      </c>
      <c r="M1083" t="s">
        <v>4275</v>
      </c>
      <c r="O1083" t="s">
        <v>4282</v>
      </c>
      <c r="P1083" t="s">
        <v>5246</v>
      </c>
      <c r="Q1083" t="s">
        <v>5733</v>
      </c>
      <c r="R1083" t="s">
        <v>5753</v>
      </c>
      <c r="S1083" t="s">
        <v>5759</v>
      </c>
      <c r="V1083" t="s">
        <v>5767</v>
      </c>
      <c r="W1083" t="s">
        <v>5772</v>
      </c>
      <c r="X1083" t="s">
        <v>173</v>
      </c>
      <c r="Y1083">
        <v>1609.4</v>
      </c>
      <c r="Z1083" t="s">
        <v>5803</v>
      </c>
      <c r="AA1083" t="s">
        <v>5804</v>
      </c>
      <c r="AB1083" t="s">
        <v>5821</v>
      </c>
      <c r="AC1083" t="s">
        <v>6091</v>
      </c>
      <c r="AD1083" t="s">
        <v>7413</v>
      </c>
      <c r="AE1083" t="s">
        <v>8101</v>
      </c>
      <c r="AF1083">
        <v>49</v>
      </c>
      <c r="AH1083" t="s">
        <v>4280</v>
      </c>
      <c r="AI1083">
        <v>11</v>
      </c>
      <c r="AJ1083">
        <v>3</v>
      </c>
      <c r="AK1083">
        <v>0</v>
      </c>
      <c r="AL1083">
        <v>15.98</v>
      </c>
      <c r="AO1083" t="s">
        <v>1425</v>
      </c>
      <c r="AP1083">
        <v>3408</v>
      </c>
      <c r="AV1083">
        <v>2.5</v>
      </c>
      <c r="AW1083" t="s">
        <v>74</v>
      </c>
    </row>
    <row r="1084" spans="1:49">
      <c r="A1084" s="1">
        <f>HYPERLINK("https://cms.ls-nyc.org/matter/dynamic-profile/view/1874522","18-1874522")</f>
        <v>0</v>
      </c>
      <c r="B1084" t="s">
        <v>74</v>
      </c>
      <c r="C1084" t="s">
        <v>83</v>
      </c>
      <c r="D1084" t="s">
        <v>103</v>
      </c>
      <c r="F1084" t="s">
        <v>725</v>
      </c>
      <c r="G1084" t="s">
        <v>1798</v>
      </c>
      <c r="H1084" t="s">
        <v>2958</v>
      </c>
      <c r="I1084" t="s">
        <v>3850</v>
      </c>
      <c r="J1084" t="s">
        <v>4234</v>
      </c>
      <c r="K1084">
        <v>11106</v>
      </c>
      <c r="L1084" t="s">
        <v>4275</v>
      </c>
      <c r="M1084" t="s">
        <v>4275</v>
      </c>
      <c r="O1084" t="s">
        <v>4284</v>
      </c>
      <c r="P1084" t="s">
        <v>5247</v>
      </c>
      <c r="Q1084" t="s">
        <v>5738</v>
      </c>
      <c r="R1084" t="s">
        <v>5755</v>
      </c>
      <c r="T1084" t="s">
        <v>4276</v>
      </c>
      <c r="V1084" t="s">
        <v>5767</v>
      </c>
      <c r="W1084" t="s">
        <v>5772</v>
      </c>
      <c r="X1084" t="s">
        <v>103</v>
      </c>
      <c r="Y1084">
        <v>1100</v>
      </c>
      <c r="Z1084" t="s">
        <v>5803</v>
      </c>
      <c r="AA1084" t="s">
        <v>5815</v>
      </c>
      <c r="AC1084" t="s">
        <v>6303</v>
      </c>
      <c r="AE1084" t="s">
        <v>8305</v>
      </c>
      <c r="AF1084">
        <v>40</v>
      </c>
      <c r="AG1084" t="s">
        <v>9272</v>
      </c>
      <c r="AH1084" t="s">
        <v>4280</v>
      </c>
      <c r="AI1084">
        <v>25</v>
      </c>
      <c r="AJ1084">
        <v>6</v>
      </c>
      <c r="AK1084">
        <v>4</v>
      </c>
      <c r="AL1084">
        <v>16.11</v>
      </c>
      <c r="AM1084" t="s">
        <v>9291</v>
      </c>
      <c r="AN1084" t="s">
        <v>9295</v>
      </c>
      <c r="AO1084" t="s">
        <v>9306</v>
      </c>
      <c r="AP1084">
        <v>8220</v>
      </c>
      <c r="AV1084">
        <v>10.4</v>
      </c>
      <c r="AW1084" t="s">
        <v>54</v>
      </c>
    </row>
    <row r="1085" spans="1:49">
      <c r="A1085" s="1">
        <f>HYPERLINK("https://cms.ls-nyc.org/matter/dynamic-profile/view/1891683","19-1891683")</f>
        <v>0</v>
      </c>
      <c r="B1085" t="s">
        <v>74</v>
      </c>
      <c r="C1085" t="s">
        <v>82</v>
      </c>
      <c r="D1085" t="s">
        <v>233</v>
      </c>
      <c r="E1085" t="s">
        <v>96</v>
      </c>
      <c r="F1085" t="s">
        <v>579</v>
      </c>
      <c r="G1085" t="s">
        <v>1610</v>
      </c>
      <c r="H1085" t="s">
        <v>3420</v>
      </c>
      <c r="I1085" t="s">
        <v>4128</v>
      </c>
      <c r="J1085" t="s">
        <v>4234</v>
      </c>
      <c r="K1085">
        <v>11106</v>
      </c>
      <c r="L1085" t="s">
        <v>4275</v>
      </c>
      <c r="M1085" t="s">
        <v>4276</v>
      </c>
      <c r="O1085" t="s">
        <v>4282</v>
      </c>
      <c r="P1085" t="s">
        <v>5248</v>
      </c>
      <c r="Q1085" t="s">
        <v>5733</v>
      </c>
      <c r="R1085" t="s">
        <v>5753</v>
      </c>
      <c r="S1085" t="s">
        <v>5759</v>
      </c>
      <c r="V1085" t="s">
        <v>5767</v>
      </c>
      <c r="W1085" t="s">
        <v>5772</v>
      </c>
      <c r="X1085" t="s">
        <v>233</v>
      </c>
      <c r="Y1085">
        <v>215</v>
      </c>
      <c r="Z1085" t="s">
        <v>5803</v>
      </c>
      <c r="AA1085" t="s">
        <v>5804</v>
      </c>
      <c r="AB1085" t="s">
        <v>5821</v>
      </c>
      <c r="AC1085" t="s">
        <v>6820</v>
      </c>
      <c r="AE1085" t="s">
        <v>8803</v>
      </c>
      <c r="AF1085">
        <v>42</v>
      </c>
      <c r="AG1085" t="s">
        <v>9271</v>
      </c>
      <c r="AH1085" t="s">
        <v>4280</v>
      </c>
      <c r="AI1085">
        <v>23</v>
      </c>
      <c r="AJ1085">
        <v>1</v>
      </c>
      <c r="AK1085">
        <v>0</v>
      </c>
      <c r="AL1085">
        <v>18.94</v>
      </c>
      <c r="AP1085">
        <v>2366</v>
      </c>
      <c r="AV1085">
        <v>1</v>
      </c>
      <c r="AW1085" t="s">
        <v>74</v>
      </c>
    </row>
    <row r="1086" spans="1:49">
      <c r="A1086" s="1">
        <f>HYPERLINK("https://cms.ls-nyc.org/matter/dynamic-profile/view/1887629","19-1887629")</f>
        <v>0</v>
      </c>
      <c r="B1086" t="s">
        <v>74</v>
      </c>
      <c r="C1086" t="s">
        <v>82</v>
      </c>
      <c r="D1086" t="s">
        <v>136</v>
      </c>
      <c r="E1086" t="s">
        <v>152</v>
      </c>
      <c r="F1086" t="s">
        <v>1099</v>
      </c>
      <c r="G1086" t="s">
        <v>1498</v>
      </c>
      <c r="H1086" t="s">
        <v>3421</v>
      </c>
      <c r="I1086" t="s">
        <v>4129</v>
      </c>
      <c r="J1086" t="s">
        <v>4229</v>
      </c>
      <c r="K1086">
        <v>11367</v>
      </c>
      <c r="L1086" t="s">
        <v>4275</v>
      </c>
      <c r="M1086" t="s">
        <v>4275</v>
      </c>
      <c r="O1086" t="s">
        <v>4282</v>
      </c>
      <c r="P1086" t="s">
        <v>5249</v>
      </c>
      <c r="Q1086" t="s">
        <v>5731</v>
      </c>
      <c r="R1086" t="s">
        <v>5753</v>
      </c>
      <c r="S1086" t="s">
        <v>5759</v>
      </c>
      <c r="V1086" t="s">
        <v>5767</v>
      </c>
      <c r="X1086" t="s">
        <v>136</v>
      </c>
      <c r="Y1086">
        <v>117</v>
      </c>
      <c r="Z1086" t="s">
        <v>5803</v>
      </c>
      <c r="AA1086" t="s">
        <v>5804</v>
      </c>
      <c r="AB1086" t="s">
        <v>5821</v>
      </c>
      <c r="AC1086" t="s">
        <v>6821</v>
      </c>
      <c r="AD1086" t="s">
        <v>7678</v>
      </c>
      <c r="AE1086" t="s">
        <v>8804</v>
      </c>
      <c r="AF1086">
        <v>100</v>
      </c>
      <c r="AG1086" t="s">
        <v>9271</v>
      </c>
      <c r="AH1086" t="s">
        <v>4280</v>
      </c>
      <c r="AI1086">
        <v>6</v>
      </c>
      <c r="AJ1086">
        <v>2</v>
      </c>
      <c r="AK1086">
        <v>6</v>
      </c>
      <c r="AL1086">
        <v>18.97</v>
      </c>
      <c r="AO1086" t="s">
        <v>1425</v>
      </c>
      <c r="AP1086">
        <v>8040</v>
      </c>
      <c r="AV1086">
        <v>0.5</v>
      </c>
      <c r="AW1086" t="s">
        <v>74</v>
      </c>
    </row>
    <row r="1087" spans="1:49">
      <c r="A1087" s="1">
        <f>HYPERLINK("https://cms.ls-nyc.org/matter/dynamic-profile/view/1878085","18-1878085")</f>
        <v>0</v>
      </c>
      <c r="B1087" t="s">
        <v>74</v>
      </c>
      <c r="C1087" t="s">
        <v>83</v>
      </c>
      <c r="D1087" t="s">
        <v>188</v>
      </c>
      <c r="F1087" t="s">
        <v>659</v>
      </c>
      <c r="G1087" t="s">
        <v>2172</v>
      </c>
      <c r="H1087" t="s">
        <v>2725</v>
      </c>
      <c r="I1087" t="s">
        <v>3931</v>
      </c>
      <c r="J1087" t="s">
        <v>4243</v>
      </c>
      <c r="K1087">
        <v>11691</v>
      </c>
      <c r="L1087" t="s">
        <v>4275</v>
      </c>
      <c r="M1087" t="s">
        <v>4275</v>
      </c>
      <c r="O1087" t="s">
        <v>4283</v>
      </c>
      <c r="P1087" t="s">
        <v>5250</v>
      </c>
      <c r="Q1087" t="s">
        <v>5731</v>
      </c>
      <c r="R1087" t="s">
        <v>5753</v>
      </c>
      <c r="T1087" t="s">
        <v>4276</v>
      </c>
      <c r="V1087" t="s">
        <v>5767</v>
      </c>
      <c r="W1087" t="s">
        <v>5772</v>
      </c>
      <c r="X1087" t="s">
        <v>188</v>
      </c>
      <c r="Y1087">
        <v>1287.85</v>
      </c>
      <c r="Z1087" t="s">
        <v>5803</v>
      </c>
      <c r="AA1087" t="s">
        <v>5804</v>
      </c>
      <c r="AC1087" t="s">
        <v>6822</v>
      </c>
      <c r="AE1087" t="s">
        <v>8805</v>
      </c>
      <c r="AF1087">
        <v>40</v>
      </c>
      <c r="AG1087" t="s">
        <v>9269</v>
      </c>
      <c r="AH1087" t="s">
        <v>9283</v>
      </c>
      <c r="AI1087">
        <v>5</v>
      </c>
      <c r="AJ1087">
        <v>1</v>
      </c>
      <c r="AK1087">
        <v>4</v>
      </c>
      <c r="AL1087">
        <v>19</v>
      </c>
      <c r="AO1087" t="s">
        <v>1425</v>
      </c>
      <c r="AP1087">
        <v>5590</v>
      </c>
      <c r="AV1087">
        <v>1.3</v>
      </c>
      <c r="AW1087" t="s">
        <v>74</v>
      </c>
    </row>
    <row r="1088" spans="1:49">
      <c r="A1088" s="1">
        <f>HYPERLINK("https://cms.ls-nyc.org/matter/dynamic-profile/view/1871968","18-1871968")</f>
        <v>0</v>
      </c>
      <c r="B1088" t="s">
        <v>74</v>
      </c>
      <c r="C1088" t="s">
        <v>82</v>
      </c>
      <c r="D1088" t="s">
        <v>113</v>
      </c>
      <c r="E1088" t="s">
        <v>278</v>
      </c>
      <c r="F1088" t="s">
        <v>326</v>
      </c>
      <c r="G1088" t="s">
        <v>2173</v>
      </c>
      <c r="H1088" t="s">
        <v>3372</v>
      </c>
      <c r="I1088" t="s">
        <v>4130</v>
      </c>
      <c r="J1088" t="s">
        <v>4222</v>
      </c>
      <c r="K1088">
        <v>11434</v>
      </c>
      <c r="L1088" t="s">
        <v>4275</v>
      </c>
      <c r="M1088" t="s">
        <v>4275</v>
      </c>
      <c r="O1088" t="s">
        <v>4281</v>
      </c>
      <c r="P1088" t="s">
        <v>5251</v>
      </c>
      <c r="Q1088" t="s">
        <v>5731</v>
      </c>
      <c r="R1088" t="s">
        <v>5753</v>
      </c>
      <c r="S1088" t="s">
        <v>5759</v>
      </c>
      <c r="T1088" t="s">
        <v>4276</v>
      </c>
      <c r="V1088" t="s">
        <v>5767</v>
      </c>
      <c r="X1088" t="s">
        <v>113</v>
      </c>
      <c r="Y1088">
        <v>902.46</v>
      </c>
      <c r="Z1088" t="s">
        <v>5803</v>
      </c>
      <c r="AA1088" t="s">
        <v>5804</v>
      </c>
      <c r="AB1088" t="s">
        <v>5821</v>
      </c>
      <c r="AC1088" t="s">
        <v>6823</v>
      </c>
      <c r="AD1088" t="s">
        <v>7679</v>
      </c>
      <c r="AE1088" t="s">
        <v>8806</v>
      </c>
      <c r="AF1088">
        <v>80</v>
      </c>
      <c r="AG1088" t="s">
        <v>9272</v>
      </c>
      <c r="AH1088" t="s">
        <v>4280</v>
      </c>
      <c r="AI1088">
        <v>27</v>
      </c>
      <c r="AJ1088">
        <v>1</v>
      </c>
      <c r="AK1088">
        <v>0</v>
      </c>
      <c r="AL1088">
        <v>19.49</v>
      </c>
      <c r="AP1088">
        <v>2366</v>
      </c>
      <c r="AV1088">
        <v>1.1</v>
      </c>
      <c r="AW1088" t="s">
        <v>74</v>
      </c>
    </row>
    <row r="1089" spans="1:49">
      <c r="A1089" s="1">
        <f>HYPERLINK("https://cms.ls-nyc.org/matter/dynamic-profile/view/1885988","18-1885988")</f>
        <v>0</v>
      </c>
      <c r="B1089" t="s">
        <v>74</v>
      </c>
      <c r="C1089" t="s">
        <v>82</v>
      </c>
      <c r="D1089" t="s">
        <v>191</v>
      </c>
      <c r="E1089" t="s">
        <v>303</v>
      </c>
      <c r="F1089" t="s">
        <v>1100</v>
      </c>
      <c r="G1089" t="s">
        <v>1583</v>
      </c>
      <c r="H1089" t="s">
        <v>3422</v>
      </c>
      <c r="I1089" t="s">
        <v>3866</v>
      </c>
      <c r="J1089" t="s">
        <v>4244</v>
      </c>
      <c r="K1089">
        <v>11413</v>
      </c>
      <c r="L1089" t="s">
        <v>4275</v>
      </c>
      <c r="M1089" t="s">
        <v>4275</v>
      </c>
      <c r="O1089" t="s">
        <v>4282</v>
      </c>
      <c r="P1089" t="s">
        <v>5252</v>
      </c>
      <c r="Q1089" t="s">
        <v>5732</v>
      </c>
      <c r="R1089" t="s">
        <v>5753</v>
      </c>
      <c r="S1089" t="s">
        <v>5759</v>
      </c>
      <c r="T1089" t="s">
        <v>4276</v>
      </c>
      <c r="V1089" t="s">
        <v>5767</v>
      </c>
      <c r="X1089" t="s">
        <v>191</v>
      </c>
      <c r="Y1089">
        <v>1550</v>
      </c>
      <c r="Z1089" t="s">
        <v>5803</v>
      </c>
      <c r="AA1089" t="s">
        <v>5804</v>
      </c>
      <c r="AB1089" t="s">
        <v>5821</v>
      </c>
      <c r="AC1089" t="s">
        <v>6824</v>
      </c>
      <c r="AE1089" t="s">
        <v>8807</v>
      </c>
      <c r="AF1089">
        <v>2</v>
      </c>
      <c r="AG1089" t="s">
        <v>9269</v>
      </c>
      <c r="AH1089" t="s">
        <v>4280</v>
      </c>
      <c r="AI1089">
        <v>2</v>
      </c>
      <c r="AJ1089">
        <v>2</v>
      </c>
      <c r="AK1089">
        <v>3</v>
      </c>
      <c r="AL1089">
        <v>20.87</v>
      </c>
      <c r="AO1089" t="s">
        <v>1425</v>
      </c>
      <c r="AP1089">
        <v>6140</v>
      </c>
      <c r="AV1089">
        <v>1.75</v>
      </c>
      <c r="AW1089" t="s">
        <v>74</v>
      </c>
    </row>
    <row r="1090" spans="1:49">
      <c r="A1090" s="1">
        <f>HYPERLINK("https://cms.ls-nyc.org/matter/dynamic-profile/view/1899124","19-1899124")</f>
        <v>0</v>
      </c>
      <c r="B1090" t="s">
        <v>74</v>
      </c>
      <c r="C1090" t="s">
        <v>82</v>
      </c>
      <c r="D1090" t="s">
        <v>270</v>
      </c>
      <c r="E1090" t="s">
        <v>270</v>
      </c>
      <c r="F1090" t="s">
        <v>1101</v>
      </c>
      <c r="G1090" t="s">
        <v>2174</v>
      </c>
      <c r="H1090" t="s">
        <v>3423</v>
      </c>
      <c r="J1090" t="s">
        <v>4273</v>
      </c>
      <c r="K1090">
        <v>11520</v>
      </c>
      <c r="L1090" t="s">
        <v>4275</v>
      </c>
      <c r="M1090" t="s">
        <v>4277</v>
      </c>
      <c r="N1090" t="s">
        <v>4278</v>
      </c>
      <c r="O1090" t="s">
        <v>4284</v>
      </c>
      <c r="P1090" t="s">
        <v>5253</v>
      </c>
      <c r="Q1090" t="s">
        <v>4698</v>
      </c>
      <c r="R1090" t="s">
        <v>5753</v>
      </c>
      <c r="S1090" t="s">
        <v>5759</v>
      </c>
      <c r="T1090" t="s">
        <v>4276</v>
      </c>
      <c r="V1090" t="s">
        <v>5767</v>
      </c>
      <c r="W1090" t="s">
        <v>5772</v>
      </c>
      <c r="X1090" t="s">
        <v>270</v>
      </c>
      <c r="Y1090">
        <v>2300</v>
      </c>
      <c r="Z1090" t="s">
        <v>5803</v>
      </c>
      <c r="AA1090" t="s">
        <v>5815</v>
      </c>
      <c r="AB1090" t="s">
        <v>5821</v>
      </c>
      <c r="AC1090" t="s">
        <v>6825</v>
      </c>
      <c r="AE1090" t="s">
        <v>8808</v>
      </c>
      <c r="AF1090">
        <v>1</v>
      </c>
      <c r="AG1090" t="s">
        <v>9269</v>
      </c>
      <c r="AH1090" t="s">
        <v>4280</v>
      </c>
      <c r="AI1090">
        <v>18</v>
      </c>
      <c r="AJ1090">
        <v>1</v>
      </c>
      <c r="AK1090">
        <v>3</v>
      </c>
      <c r="AL1090">
        <v>25.24</v>
      </c>
      <c r="AM1090" t="s">
        <v>9291</v>
      </c>
      <c r="AN1090" t="s">
        <v>9295</v>
      </c>
      <c r="AO1090" t="s">
        <v>9298</v>
      </c>
      <c r="AP1090">
        <v>6500</v>
      </c>
      <c r="AV1090">
        <v>1.5</v>
      </c>
      <c r="AW1090" t="s">
        <v>74</v>
      </c>
    </row>
    <row r="1091" spans="1:49">
      <c r="A1091" s="1">
        <f>HYPERLINK("https://cms.ls-nyc.org/matter/dynamic-profile/view/1875721","18-1875721")</f>
        <v>0</v>
      </c>
      <c r="B1091" t="s">
        <v>74</v>
      </c>
      <c r="C1091" t="s">
        <v>83</v>
      </c>
      <c r="D1091" t="s">
        <v>151</v>
      </c>
      <c r="F1091" t="s">
        <v>452</v>
      </c>
      <c r="G1091" t="s">
        <v>2175</v>
      </c>
      <c r="H1091" t="s">
        <v>3424</v>
      </c>
      <c r="I1091" t="s">
        <v>4131</v>
      </c>
      <c r="J1091" t="s">
        <v>4229</v>
      </c>
      <c r="K1091">
        <v>11354</v>
      </c>
      <c r="L1091" t="s">
        <v>4276</v>
      </c>
      <c r="M1091" t="s">
        <v>4277</v>
      </c>
      <c r="O1091" t="s">
        <v>4282</v>
      </c>
      <c r="P1091" t="s">
        <v>5254</v>
      </c>
      <c r="Q1091" t="s">
        <v>5731</v>
      </c>
      <c r="R1091" t="s">
        <v>5753</v>
      </c>
      <c r="T1091" t="s">
        <v>5765</v>
      </c>
      <c r="V1091" t="s">
        <v>5767</v>
      </c>
      <c r="X1091" t="s">
        <v>151</v>
      </c>
      <c r="Y1091">
        <v>535</v>
      </c>
      <c r="Z1091" t="s">
        <v>5803</v>
      </c>
      <c r="AA1091" t="s">
        <v>5804</v>
      </c>
      <c r="AC1091" t="s">
        <v>6826</v>
      </c>
      <c r="AD1091" t="s">
        <v>7680</v>
      </c>
      <c r="AE1091" t="s">
        <v>8809</v>
      </c>
      <c r="AF1091">
        <v>80</v>
      </c>
      <c r="AG1091" t="s">
        <v>9271</v>
      </c>
      <c r="AH1091" t="s">
        <v>4280</v>
      </c>
      <c r="AI1091">
        <v>40</v>
      </c>
      <c r="AJ1091">
        <v>2</v>
      </c>
      <c r="AK1091">
        <v>0</v>
      </c>
      <c r="AL1091">
        <v>29.53</v>
      </c>
      <c r="AP1091">
        <v>4860</v>
      </c>
      <c r="AV1091">
        <v>1.5</v>
      </c>
      <c r="AW1091" t="s">
        <v>74</v>
      </c>
    </row>
    <row r="1092" spans="1:49">
      <c r="A1092" s="1">
        <f>HYPERLINK("https://cms.ls-nyc.org/matter/dynamic-profile/view/1878804","18-1878804")</f>
        <v>0</v>
      </c>
      <c r="B1092" t="s">
        <v>74</v>
      </c>
      <c r="C1092" t="s">
        <v>83</v>
      </c>
      <c r="D1092" t="s">
        <v>215</v>
      </c>
      <c r="F1092" t="s">
        <v>1102</v>
      </c>
      <c r="G1092" t="s">
        <v>2176</v>
      </c>
      <c r="H1092" t="s">
        <v>3425</v>
      </c>
      <c r="I1092" t="s">
        <v>4132</v>
      </c>
      <c r="J1092" t="s">
        <v>4233</v>
      </c>
      <c r="K1092">
        <v>11375</v>
      </c>
      <c r="L1092" t="s">
        <v>4275</v>
      </c>
      <c r="M1092" t="s">
        <v>4275</v>
      </c>
      <c r="O1092" t="s">
        <v>4282</v>
      </c>
      <c r="P1092" t="s">
        <v>5255</v>
      </c>
      <c r="Q1092" t="s">
        <v>5731</v>
      </c>
      <c r="R1092" t="s">
        <v>5753</v>
      </c>
      <c r="T1092" t="s">
        <v>4276</v>
      </c>
      <c r="V1092" t="s">
        <v>5767</v>
      </c>
      <c r="X1092" t="s">
        <v>215</v>
      </c>
      <c r="Y1092">
        <v>782.6</v>
      </c>
      <c r="Z1092" t="s">
        <v>5803</v>
      </c>
      <c r="AA1092" t="s">
        <v>5804</v>
      </c>
      <c r="AC1092" t="s">
        <v>6827</v>
      </c>
      <c r="AD1092" t="s">
        <v>7681</v>
      </c>
      <c r="AE1092" t="s">
        <v>8810</v>
      </c>
      <c r="AF1092">
        <v>100</v>
      </c>
      <c r="AG1092" t="s">
        <v>9275</v>
      </c>
      <c r="AH1092" t="s">
        <v>4280</v>
      </c>
      <c r="AI1092">
        <v>30</v>
      </c>
      <c r="AJ1092">
        <v>1</v>
      </c>
      <c r="AK1092">
        <v>0</v>
      </c>
      <c r="AL1092">
        <v>29.65</v>
      </c>
      <c r="AO1092" t="s">
        <v>9322</v>
      </c>
      <c r="AP1092">
        <v>3600</v>
      </c>
      <c r="AV1092">
        <v>1.1</v>
      </c>
      <c r="AW1092" t="s">
        <v>74</v>
      </c>
    </row>
    <row r="1093" spans="1:49">
      <c r="A1093" s="1">
        <f>HYPERLINK("https://cms.ls-nyc.org/matter/dynamic-profile/view/1894975","19-1894975")</f>
        <v>0</v>
      </c>
      <c r="B1093" t="s">
        <v>74</v>
      </c>
      <c r="C1093" t="s">
        <v>82</v>
      </c>
      <c r="D1093" t="s">
        <v>271</v>
      </c>
      <c r="E1093" t="s">
        <v>101</v>
      </c>
      <c r="F1093" t="s">
        <v>1103</v>
      </c>
      <c r="G1093" t="s">
        <v>2177</v>
      </c>
      <c r="H1093" t="s">
        <v>3426</v>
      </c>
      <c r="I1093" t="s">
        <v>3866</v>
      </c>
      <c r="J1093" t="s">
        <v>4247</v>
      </c>
      <c r="K1093">
        <v>11415</v>
      </c>
      <c r="L1093" t="s">
        <v>4275</v>
      </c>
      <c r="M1093" t="s">
        <v>4275</v>
      </c>
      <c r="O1093" t="s">
        <v>4282</v>
      </c>
      <c r="P1093" t="s">
        <v>5256</v>
      </c>
      <c r="Q1093" t="s">
        <v>5733</v>
      </c>
      <c r="R1093" t="s">
        <v>5753</v>
      </c>
      <c r="S1093" t="s">
        <v>5759</v>
      </c>
      <c r="V1093" t="s">
        <v>5767</v>
      </c>
      <c r="W1093" t="s">
        <v>5772</v>
      </c>
      <c r="X1093" t="s">
        <v>271</v>
      </c>
      <c r="Y1093">
        <v>1200</v>
      </c>
      <c r="Z1093" t="s">
        <v>5803</v>
      </c>
      <c r="AA1093" t="s">
        <v>5804</v>
      </c>
      <c r="AB1093" t="s">
        <v>5821</v>
      </c>
      <c r="AC1093" t="s">
        <v>6828</v>
      </c>
      <c r="AE1093" t="s">
        <v>8811</v>
      </c>
      <c r="AF1093">
        <v>2</v>
      </c>
      <c r="AG1093" t="s">
        <v>9269</v>
      </c>
      <c r="AH1093" t="s">
        <v>4280</v>
      </c>
      <c r="AI1093">
        <v>2</v>
      </c>
      <c r="AJ1093">
        <v>4</v>
      </c>
      <c r="AK1093">
        <v>0</v>
      </c>
      <c r="AL1093">
        <v>30.29</v>
      </c>
      <c r="AO1093" t="s">
        <v>1425</v>
      </c>
      <c r="AP1093">
        <v>7800</v>
      </c>
      <c r="AV1093">
        <v>1.5</v>
      </c>
      <c r="AW1093" t="s">
        <v>74</v>
      </c>
    </row>
    <row r="1094" spans="1:49">
      <c r="A1094" s="1">
        <f>HYPERLINK("https://cms.ls-nyc.org/matter/dynamic-profile/view/1877521","18-1877521")</f>
        <v>0</v>
      </c>
      <c r="B1094" t="s">
        <v>74</v>
      </c>
      <c r="C1094" t="s">
        <v>83</v>
      </c>
      <c r="D1094" t="s">
        <v>180</v>
      </c>
      <c r="F1094" t="s">
        <v>417</v>
      </c>
      <c r="G1094" t="s">
        <v>2178</v>
      </c>
      <c r="H1094" t="s">
        <v>3427</v>
      </c>
      <c r="I1094" t="s">
        <v>3849</v>
      </c>
      <c r="J1094" t="s">
        <v>4249</v>
      </c>
      <c r="K1094">
        <v>11429</v>
      </c>
      <c r="L1094" t="s">
        <v>4275</v>
      </c>
      <c r="M1094" t="s">
        <v>4277</v>
      </c>
      <c r="O1094" t="s">
        <v>4282</v>
      </c>
      <c r="P1094" t="s">
        <v>5257</v>
      </c>
      <c r="Q1094" t="s">
        <v>5732</v>
      </c>
      <c r="T1094" t="s">
        <v>4276</v>
      </c>
      <c r="V1094" t="s">
        <v>5767</v>
      </c>
      <c r="X1094" t="s">
        <v>180</v>
      </c>
      <c r="Y1094">
        <v>100</v>
      </c>
      <c r="Z1094" t="s">
        <v>5803</v>
      </c>
      <c r="AC1094" t="s">
        <v>6829</v>
      </c>
      <c r="AE1094" t="s">
        <v>8812</v>
      </c>
      <c r="AF1094">
        <v>0</v>
      </c>
      <c r="AG1094" t="s">
        <v>9269</v>
      </c>
      <c r="AH1094" t="s">
        <v>4280</v>
      </c>
      <c r="AI1094">
        <v>10</v>
      </c>
      <c r="AJ1094">
        <v>1</v>
      </c>
      <c r="AK1094">
        <v>0</v>
      </c>
      <c r="AL1094">
        <v>34.27</v>
      </c>
      <c r="AP1094">
        <v>4160</v>
      </c>
      <c r="AV1094">
        <v>0.25</v>
      </c>
      <c r="AW1094" t="s">
        <v>74</v>
      </c>
    </row>
    <row r="1095" spans="1:49">
      <c r="A1095" s="1">
        <f>HYPERLINK("https://cms.ls-nyc.org/matter/dynamic-profile/view/1900209","19-1900209")</f>
        <v>0</v>
      </c>
      <c r="B1095" t="s">
        <v>74</v>
      </c>
      <c r="C1095" t="s">
        <v>82</v>
      </c>
      <c r="D1095" t="s">
        <v>91</v>
      </c>
      <c r="E1095" t="s">
        <v>232</v>
      </c>
      <c r="F1095" t="s">
        <v>1043</v>
      </c>
      <c r="G1095" t="s">
        <v>2179</v>
      </c>
      <c r="H1095" t="s">
        <v>3428</v>
      </c>
      <c r="I1095" t="s">
        <v>3856</v>
      </c>
      <c r="J1095" t="s">
        <v>4222</v>
      </c>
      <c r="K1095">
        <v>11435</v>
      </c>
      <c r="L1095" t="s">
        <v>4275</v>
      </c>
      <c r="M1095" t="s">
        <v>4277</v>
      </c>
      <c r="N1095" t="s">
        <v>4278</v>
      </c>
      <c r="O1095" t="s">
        <v>4283</v>
      </c>
      <c r="P1095" t="s">
        <v>5258</v>
      </c>
      <c r="Q1095" t="s">
        <v>5733</v>
      </c>
      <c r="R1095" t="s">
        <v>5754</v>
      </c>
      <c r="S1095" t="s">
        <v>5763</v>
      </c>
      <c r="T1095" t="s">
        <v>4276</v>
      </c>
      <c r="V1095" t="s">
        <v>5767</v>
      </c>
      <c r="X1095" t="s">
        <v>91</v>
      </c>
      <c r="Y1095">
        <v>1600</v>
      </c>
      <c r="Z1095" t="s">
        <v>5803</v>
      </c>
      <c r="AA1095" t="s">
        <v>5804</v>
      </c>
      <c r="AB1095" t="s">
        <v>5821</v>
      </c>
      <c r="AC1095" t="s">
        <v>6830</v>
      </c>
      <c r="AD1095" t="s">
        <v>7682</v>
      </c>
      <c r="AE1095" t="s">
        <v>8813</v>
      </c>
      <c r="AF1095">
        <v>8</v>
      </c>
      <c r="AG1095" t="s">
        <v>9270</v>
      </c>
      <c r="AH1095" t="s">
        <v>4280</v>
      </c>
      <c r="AI1095">
        <v>1</v>
      </c>
      <c r="AJ1095">
        <v>2</v>
      </c>
      <c r="AK1095">
        <v>0</v>
      </c>
      <c r="AL1095">
        <v>39.57</v>
      </c>
      <c r="AO1095" t="s">
        <v>1425</v>
      </c>
      <c r="AP1095">
        <v>6692</v>
      </c>
      <c r="AV1095">
        <v>3.3</v>
      </c>
      <c r="AW1095" t="s">
        <v>74</v>
      </c>
    </row>
    <row r="1096" spans="1:49">
      <c r="A1096" s="1">
        <f>HYPERLINK("https://cms.ls-nyc.org/matter/dynamic-profile/view/1873212","18-1873212")</f>
        <v>0</v>
      </c>
      <c r="B1096" t="s">
        <v>74</v>
      </c>
      <c r="C1096" t="s">
        <v>82</v>
      </c>
      <c r="D1096" t="s">
        <v>133</v>
      </c>
      <c r="E1096" t="s">
        <v>120</v>
      </c>
      <c r="F1096" t="s">
        <v>381</v>
      </c>
      <c r="G1096" t="s">
        <v>1485</v>
      </c>
      <c r="H1096" t="s">
        <v>3429</v>
      </c>
      <c r="I1096" t="s">
        <v>3934</v>
      </c>
      <c r="J1096" t="s">
        <v>4235</v>
      </c>
      <c r="K1096">
        <v>11421</v>
      </c>
      <c r="L1096" t="s">
        <v>4275</v>
      </c>
      <c r="M1096" t="s">
        <v>4275</v>
      </c>
      <c r="N1096" t="s">
        <v>4278</v>
      </c>
      <c r="O1096" t="s">
        <v>4282</v>
      </c>
      <c r="P1096" t="s">
        <v>5259</v>
      </c>
      <c r="Q1096" t="s">
        <v>5732</v>
      </c>
      <c r="R1096" t="s">
        <v>5753</v>
      </c>
      <c r="S1096" t="s">
        <v>5759</v>
      </c>
      <c r="V1096" t="s">
        <v>5767</v>
      </c>
      <c r="X1096" t="s">
        <v>133</v>
      </c>
      <c r="Y1096">
        <v>0</v>
      </c>
      <c r="Z1096" t="s">
        <v>5803</v>
      </c>
      <c r="AA1096" t="s">
        <v>5804</v>
      </c>
      <c r="AB1096" t="s">
        <v>5821</v>
      </c>
      <c r="AC1096" t="s">
        <v>6831</v>
      </c>
      <c r="AE1096" t="s">
        <v>8814</v>
      </c>
      <c r="AF1096">
        <v>65</v>
      </c>
      <c r="AG1096" t="s">
        <v>9272</v>
      </c>
      <c r="AH1096" t="s">
        <v>4280</v>
      </c>
      <c r="AI1096">
        <v>4</v>
      </c>
      <c r="AJ1096">
        <v>4</v>
      </c>
      <c r="AK1096">
        <v>3</v>
      </c>
      <c r="AL1096">
        <v>42.04</v>
      </c>
      <c r="AO1096" t="s">
        <v>9298</v>
      </c>
      <c r="AP1096">
        <v>16000</v>
      </c>
      <c r="AV1096">
        <v>1.75</v>
      </c>
      <c r="AW1096" t="s">
        <v>74</v>
      </c>
    </row>
    <row r="1097" spans="1:49">
      <c r="A1097" s="1">
        <f>HYPERLINK("https://cms.ls-nyc.org/matter/dynamic-profile/view/1879572","18-1879572")</f>
        <v>0</v>
      </c>
      <c r="B1097" t="s">
        <v>74</v>
      </c>
      <c r="C1097" t="s">
        <v>82</v>
      </c>
      <c r="D1097" t="s">
        <v>128</v>
      </c>
      <c r="E1097" t="s">
        <v>274</v>
      </c>
      <c r="F1097" t="s">
        <v>1104</v>
      </c>
      <c r="G1097" t="s">
        <v>2180</v>
      </c>
      <c r="H1097" t="s">
        <v>3430</v>
      </c>
      <c r="I1097">
        <v>4</v>
      </c>
      <c r="J1097" t="s">
        <v>4234</v>
      </c>
      <c r="K1097">
        <v>11102</v>
      </c>
      <c r="L1097" t="s">
        <v>4277</v>
      </c>
      <c r="M1097" t="s">
        <v>4277</v>
      </c>
      <c r="O1097" t="s">
        <v>4282</v>
      </c>
      <c r="P1097" t="s">
        <v>5260</v>
      </c>
      <c r="Q1097" t="s">
        <v>5733</v>
      </c>
      <c r="R1097" t="s">
        <v>5753</v>
      </c>
      <c r="S1097" t="s">
        <v>5759</v>
      </c>
      <c r="T1097" t="s">
        <v>4275</v>
      </c>
      <c r="V1097" t="s">
        <v>5767</v>
      </c>
      <c r="Y1097">
        <v>1350</v>
      </c>
      <c r="Z1097" t="s">
        <v>5803</v>
      </c>
      <c r="AA1097" t="s">
        <v>5804</v>
      </c>
      <c r="AB1097" t="s">
        <v>5821</v>
      </c>
      <c r="AC1097" t="s">
        <v>6832</v>
      </c>
      <c r="AD1097" t="s">
        <v>7683</v>
      </c>
      <c r="AE1097" t="s">
        <v>8815</v>
      </c>
      <c r="AF1097">
        <v>35</v>
      </c>
      <c r="AG1097" t="s">
        <v>9272</v>
      </c>
      <c r="AH1097" t="s">
        <v>9283</v>
      </c>
      <c r="AI1097">
        <v>27</v>
      </c>
      <c r="AJ1097">
        <v>5</v>
      </c>
      <c r="AK1097">
        <v>1</v>
      </c>
      <c r="AL1097">
        <v>42.53</v>
      </c>
      <c r="AO1097" t="s">
        <v>9301</v>
      </c>
      <c r="AP1097">
        <v>14348</v>
      </c>
      <c r="AV1097">
        <v>2.6</v>
      </c>
      <c r="AW1097" t="s">
        <v>74</v>
      </c>
    </row>
    <row r="1098" spans="1:49">
      <c r="A1098" s="1">
        <f>HYPERLINK("https://cms.ls-nyc.org/matter/dynamic-profile/view/1875664","18-1875664")</f>
        <v>0</v>
      </c>
      <c r="B1098" t="s">
        <v>74</v>
      </c>
      <c r="C1098" t="s">
        <v>82</v>
      </c>
      <c r="D1098" t="s">
        <v>122</v>
      </c>
      <c r="E1098" t="s">
        <v>120</v>
      </c>
      <c r="F1098" t="s">
        <v>1105</v>
      </c>
      <c r="G1098" t="s">
        <v>2181</v>
      </c>
      <c r="H1098" t="s">
        <v>3431</v>
      </c>
      <c r="I1098" t="s">
        <v>3856</v>
      </c>
      <c r="J1098" t="s">
        <v>4255</v>
      </c>
      <c r="K1098">
        <v>11372</v>
      </c>
      <c r="L1098" t="s">
        <v>4275</v>
      </c>
      <c r="M1098" t="s">
        <v>4275</v>
      </c>
      <c r="N1098" t="s">
        <v>4278</v>
      </c>
      <c r="O1098" t="s">
        <v>4282</v>
      </c>
      <c r="P1098" t="s">
        <v>5261</v>
      </c>
      <c r="Q1098" t="s">
        <v>5731</v>
      </c>
      <c r="R1098" t="s">
        <v>5753</v>
      </c>
      <c r="S1098" t="s">
        <v>5759</v>
      </c>
      <c r="T1098" t="s">
        <v>4276</v>
      </c>
      <c r="V1098" t="s">
        <v>5767</v>
      </c>
      <c r="X1098" t="s">
        <v>122</v>
      </c>
      <c r="Y1098">
        <v>1300</v>
      </c>
      <c r="Z1098" t="s">
        <v>5803</v>
      </c>
      <c r="AA1098" t="s">
        <v>5804</v>
      </c>
      <c r="AB1098" t="s">
        <v>5821</v>
      </c>
      <c r="AC1098" t="s">
        <v>6360</v>
      </c>
      <c r="AD1098" t="s">
        <v>7684</v>
      </c>
      <c r="AE1098" t="s">
        <v>8816</v>
      </c>
      <c r="AF1098">
        <v>1</v>
      </c>
      <c r="AG1098" t="s">
        <v>9277</v>
      </c>
      <c r="AH1098" t="s">
        <v>4280</v>
      </c>
      <c r="AI1098">
        <v>6</v>
      </c>
      <c r="AJ1098">
        <v>2</v>
      </c>
      <c r="AK1098">
        <v>1</v>
      </c>
      <c r="AL1098">
        <v>43.79</v>
      </c>
      <c r="AO1098" t="s">
        <v>9298</v>
      </c>
      <c r="AP1098">
        <v>9100</v>
      </c>
      <c r="AV1098">
        <v>1</v>
      </c>
      <c r="AW1098" t="s">
        <v>74</v>
      </c>
    </row>
    <row r="1099" spans="1:49">
      <c r="A1099" s="1">
        <f>HYPERLINK("https://cms.ls-nyc.org/matter/dynamic-profile/view/1880963","18-1880963")</f>
        <v>0</v>
      </c>
      <c r="B1099" t="s">
        <v>74</v>
      </c>
      <c r="C1099" t="s">
        <v>82</v>
      </c>
      <c r="D1099" t="s">
        <v>256</v>
      </c>
      <c r="E1099" t="s">
        <v>298</v>
      </c>
      <c r="F1099" t="s">
        <v>1106</v>
      </c>
      <c r="G1099" t="s">
        <v>2182</v>
      </c>
      <c r="H1099" t="s">
        <v>3432</v>
      </c>
      <c r="J1099" t="s">
        <v>4247</v>
      </c>
      <c r="K1099">
        <v>11415</v>
      </c>
      <c r="L1099" t="s">
        <v>4275</v>
      </c>
      <c r="M1099" t="s">
        <v>4275</v>
      </c>
      <c r="O1099" t="s">
        <v>4282</v>
      </c>
      <c r="P1099" t="s">
        <v>5262</v>
      </c>
      <c r="Q1099" t="s">
        <v>5731</v>
      </c>
      <c r="R1099" t="s">
        <v>5754</v>
      </c>
      <c r="S1099" t="s">
        <v>5763</v>
      </c>
      <c r="T1099" t="s">
        <v>5765</v>
      </c>
      <c r="V1099" t="s">
        <v>5767</v>
      </c>
      <c r="X1099" t="s">
        <v>247</v>
      </c>
      <c r="Y1099">
        <v>1800</v>
      </c>
      <c r="Z1099" t="s">
        <v>5803</v>
      </c>
      <c r="AA1099" t="s">
        <v>5804</v>
      </c>
      <c r="AB1099" t="s">
        <v>5826</v>
      </c>
      <c r="AC1099" t="s">
        <v>6833</v>
      </c>
      <c r="AD1099" t="s">
        <v>7685</v>
      </c>
      <c r="AE1099" t="s">
        <v>8817</v>
      </c>
      <c r="AF1099">
        <v>50</v>
      </c>
      <c r="AG1099" t="s">
        <v>9272</v>
      </c>
      <c r="AH1099" t="s">
        <v>4280</v>
      </c>
      <c r="AI1099">
        <v>4</v>
      </c>
      <c r="AJ1099">
        <v>2</v>
      </c>
      <c r="AK1099">
        <v>3</v>
      </c>
      <c r="AL1099">
        <v>44</v>
      </c>
      <c r="AO1099" t="s">
        <v>9306</v>
      </c>
      <c r="AP1099">
        <v>12944</v>
      </c>
      <c r="AV1099">
        <v>12.35</v>
      </c>
      <c r="AW1099" t="s">
        <v>74</v>
      </c>
    </row>
    <row r="1100" spans="1:49">
      <c r="A1100" s="1">
        <f>HYPERLINK("https://cms.ls-nyc.org/matter/dynamic-profile/view/1873610","18-1873610")</f>
        <v>0</v>
      </c>
      <c r="B1100" t="s">
        <v>74</v>
      </c>
      <c r="C1100" t="s">
        <v>82</v>
      </c>
      <c r="D1100" t="s">
        <v>264</v>
      </c>
      <c r="E1100" t="s">
        <v>212</v>
      </c>
      <c r="F1100" t="s">
        <v>1107</v>
      </c>
      <c r="G1100" t="s">
        <v>1938</v>
      </c>
      <c r="H1100" t="s">
        <v>2896</v>
      </c>
      <c r="I1100" t="s">
        <v>4040</v>
      </c>
      <c r="J1100" t="s">
        <v>4227</v>
      </c>
      <c r="K1100">
        <v>11365</v>
      </c>
      <c r="L1100" t="s">
        <v>4275</v>
      </c>
      <c r="M1100" t="s">
        <v>4275</v>
      </c>
      <c r="O1100" t="s">
        <v>4282</v>
      </c>
      <c r="P1100" t="s">
        <v>5263</v>
      </c>
      <c r="Q1100" t="s">
        <v>5733</v>
      </c>
      <c r="R1100" t="s">
        <v>5753</v>
      </c>
      <c r="S1100" t="s">
        <v>5759</v>
      </c>
      <c r="T1100" t="s">
        <v>4276</v>
      </c>
      <c r="V1100" t="s">
        <v>5767</v>
      </c>
      <c r="W1100" t="s">
        <v>5772</v>
      </c>
      <c r="X1100" t="s">
        <v>264</v>
      </c>
      <c r="Y1100">
        <v>1150</v>
      </c>
      <c r="Z1100" t="s">
        <v>5803</v>
      </c>
      <c r="AA1100" t="s">
        <v>5806</v>
      </c>
      <c r="AB1100" t="s">
        <v>5821</v>
      </c>
      <c r="AC1100" t="s">
        <v>6243</v>
      </c>
      <c r="AE1100" t="s">
        <v>8248</v>
      </c>
      <c r="AF1100">
        <v>2</v>
      </c>
      <c r="AG1100" t="s">
        <v>9269</v>
      </c>
      <c r="AH1100" t="s">
        <v>4280</v>
      </c>
      <c r="AI1100">
        <v>1</v>
      </c>
      <c r="AJ1100">
        <v>1</v>
      </c>
      <c r="AK1100">
        <v>2</v>
      </c>
      <c r="AL1100">
        <v>44.75</v>
      </c>
      <c r="AO1100" t="s">
        <v>9302</v>
      </c>
      <c r="AP1100">
        <v>9300</v>
      </c>
      <c r="AV1100">
        <v>2.95</v>
      </c>
      <c r="AW1100" t="s">
        <v>74</v>
      </c>
    </row>
    <row r="1101" spans="1:49">
      <c r="A1101" s="1">
        <f>HYPERLINK("https://cms.ls-nyc.org/matter/dynamic-profile/view/1877813","18-1877813")</f>
        <v>0</v>
      </c>
      <c r="B1101" t="s">
        <v>74</v>
      </c>
      <c r="C1101" t="s">
        <v>82</v>
      </c>
      <c r="D1101" t="s">
        <v>228</v>
      </c>
      <c r="E1101" t="s">
        <v>201</v>
      </c>
      <c r="F1101" t="s">
        <v>1108</v>
      </c>
      <c r="G1101" t="s">
        <v>2183</v>
      </c>
      <c r="H1101" t="s">
        <v>3433</v>
      </c>
      <c r="I1101" t="s">
        <v>3990</v>
      </c>
      <c r="J1101" t="s">
        <v>4234</v>
      </c>
      <c r="K1101">
        <v>11103</v>
      </c>
      <c r="L1101" t="s">
        <v>4275</v>
      </c>
      <c r="M1101" t="s">
        <v>4275</v>
      </c>
      <c r="O1101" t="s">
        <v>4282</v>
      </c>
      <c r="P1101" t="s">
        <v>5264</v>
      </c>
      <c r="Q1101" t="s">
        <v>5731</v>
      </c>
      <c r="R1101" t="s">
        <v>5753</v>
      </c>
      <c r="S1101" t="s">
        <v>5759</v>
      </c>
      <c r="V1101" t="s">
        <v>5767</v>
      </c>
      <c r="X1101" t="s">
        <v>180</v>
      </c>
      <c r="Y1101">
        <v>1500</v>
      </c>
      <c r="Z1101" t="s">
        <v>5803</v>
      </c>
      <c r="AA1101" t="s">
        <v>5804</v>
      </c>
      <c r="AB1101" t="s">
        <v>5821</v>
      </c>
      <c r="AC1101" t="s">
        <v>6834</v>
      </c>
      <c r="AE1101" t="s">
        <v>8818</v>
      </c>
      <c r="AF1101">
        <v>30</v>
      </c>
      <c r="AG1101" t="s">
        <v>9272</v>
      </c>
      <c r="AH1101" t="s">
        <v>4280</v>
      </c>
      <c r="AI1101">
        <v>15</v>
      </c>
      <c r="AJ1101">
        <v>2</v>
      </c>
      <c r="AK1101">
        <v>1</v>
      </c>
      <c r="AL1101">
        <v>52.94</v>
      </c>
      <c r="AO1101" t="s">
        <v>1425</v>
      </c>
      <c r="AP1101">
        <v>11000</v>
      </c>
      <c r="AV1101">
        <v>1.6</v>
      </c>
      <c r="AW1101" t="s">
        <v>74</v>
      </c>
    </row>
    <row r="1102" spans="1:49">
      <c r="A1102" s="1">
        <f>HYPERLINK("https://cms.ls-nyc.org/matter/dynamic-profile/view/1872706","18-1872706")</f>
        <v>0</v>
      </c>
      <c r="B1102" t="s">
        <v>74</v>
      </c>
      <c r="C1102" t="s">
        <v>82</v>
      </c>
      <c r="D1102" t="s">
        <v>143</v>
      </c>
      <c r="E1102" t="s">
        <v>187</v>
      </c>
      <c r="F1102" t="s">
        <v>546</v>
      </c>
      <c r="G1102" t="s">
        <v>1820</v>
      </c>
      <c r="H1102" t="s">
        <v>3434</v>
      </c>
      <c r="I1102" t="s">
        <v>3945</v>
      </c>
      <c r="J1102" t="s">
        <v>4245</v>
      </c>
      <c r="K1102">
        <v>11418</v>
      </c>
      <c r="L1102" t="s">
        <v>4275</v>
      </c>
      <c r="M1102" t="s">
        <v>4275</v>
      </c>
      <c r="O1102" t="s">
        <v>4282</v>
      </c>
      <c r="P1102" t="s">
        <v>5265</v>
      </c>
      <c r="Q1102" t="s">
        <v>5732</v>
      </c>
      <c r="R1102" t="s">
        <v>5753</v>
      </c>
      <c r="S1102" t="s">
        <v>5759</v>
      </c>
      <c r="T1102" t="s">
        <v>4276</v>
      </c>
      <c r="V1102" t="s">
        <v>5767</v>
      </c>
      <c r="X1102" t="s">
        <v>143</v>
      </c>
      <c r="Y1102">
        <v>1450</v>
      </c>
      <c r="Z1102" t="s">
        <v>5803</v>
      </c>
      <c r="AA1102" t="s">
        <v>5804</v>
      </c>
      <c r="AB1102" t="s">
        <v>5821</v>
      </c>
      <c r="AC1102" t="s">
        <v>6835</v>
      </c>
      <c r="AD1102" t="s">
        <v>7686</v>
      </c>
      <c r="AE1102" t="s">
        <v>8819</v>
      </c>
      <c r="AF1102">
        <v>2</v>
      </c>
      <c r="AH1102" t="s">
        <v>4280</v>
      </c>
      <c r="AI1102">
        <v>8</v>
      </c>
      <c r="AJ1102">
        <v>4</v>
      </c>
      <c r="AK1102">
        <v>1</v>
      </c>
      <c r="AL1102">
        <v>63.45</v>
      </c>
      <c r="AP1102">
        <v>18668</v>
      </c>
      <c r="AV1102">
        <v>1.45</v>
      </c>
      <c r="AW1102" t="s">
        <v>74</v>
      </c>
    </row>
    <row r="1103" spans="1:49">
      <c r="A1103" s="1">
        <f>HYPERLINK("https://cms.ls-nyc.org/matter/dynamic-profile/view/1901014","19-1901014")</f>
        <v>0</v>
      </c>
      <c r="B1103" t="s">
        <v>74</v>
      </c>
      <c r="C1103" t="s">
        <v>83</v>
      </c>
      <c r="D1103" t="s">
        <v>217</v>
      </c>
      <c r="F1103" t="s">
        <v>1109</v>
      </c>
      <c r="G1103" t="s">
        <v>2184</v>
      </c>
      <c r="H1103" t="s">
        <v>3435</v>
      </c>
      <c r="I1103" t="s">
        <v>4035</v>
      </c>
      <c r="J1103" t="s">
        <v>4234</v>
      </c>
      <c r="K1103">
        <v>11103</v>
      </c>
      <c r="L1103" t="s">
        <v>4277</v>
      </c>
      <c r="M1103" t="s">
        <v>4277</v>
      </c>
      <c r="O1103" t="s">
        <v>4282</v>
      </c>
      <c r="P1103" t="s">
        <v>5266</v>
      </c>
      <c r="Q1103" t="s">
        <v>5731</v>
      </c>
      <c r="V1103" t="s">
        <v>5767</v>
      </c>
      <c r="Y1103">
        <v>1168</v>
      </c>
      <c r="Z1103" t="s">
        <v>5803</v>
      </c>
      <c r="AA1103" t="s">
        <v>5804</v>
      </c>
      <c r="AC1103" t="s">
        <v>6836</v>
      </c>
      <c r="AE1103" t="s">
        <v>8820</v>
      </c>
      <c r="AF1103">
        <v>60</v>
      </c>
      <c r="AH1103" t="s">
        <v>4280</v>
      </c>
      <c r="AI1103">
        <v>7</v>
      </c>
      <c r="AJ1103">
        <v>2</v>
      </c>
      <c r="AK1103">
        <v>0</v>
      </c>
      <c r="AL1103">
        <v>64.86</v>
      </c>
      <c r="AO1103" t="s">
        <v>1425</v>
      </c>
      <c r="AP1103">
        <v>10968</v>
      </c>
      <c r="AV1103">
        <v>2.7</v>
      </c>
      <c r="AW1103" t="s">
        <v>74</v>
      </c>
    </row>
    <row r="1104" spans="1:49">
      <c r="A1104" s="1">
        <f>HYPERLINK("https://cms.ls-nyc.org/matter/dynamic-profile/view/1890054","19-1890054")</f>
        <v>0</v>
      </c>
      <c r="B1104" t="s">
        <v>74</v>
      </c>
      <c r="C1104" t="s">
        <v>82</v>
      </c>
      <c r="D1104" t="s">
        <v>175</v>
      </c>
      <c r="E1104" t="s">
        <v>116</v>
      </c>
      <c r="F1104" t="s">
        <v>1110</v>
      </c>
      <c r="G1104" t="s">
        <v>2185</v>
      </c>
      <c r="H1104" t="s">
        <v>3436</v>
      </c>
      <c r="I1104" t="s">
        <v>3955</v>
      </c>
      <c r="J1104" t="s">
        <v>4222</v>
      </c>
      <c r="K1104">
        <v>11435</v>
      </c>
      <c r="L1104" t="s">
        <v>4275</v>
      </c>
      <c r="M1104" t="s">
        <v>4275</v>
      </c>
      <c r="O1104" t="s">
        <v>4282</v>
      </c>
      <c r="P1104" t="s">
        <v>5267</v>
      </c>
      <c r="Q1104" t="s">
        <v>5731</v>
      </c>
      <c r="R1104" t="s">
        <v>5753</v>
      </c>
      <c r="S1104" t="s">
        <v>5759</v>
      </c>
      <c r="T1104" t="s">
        <v>4276</v>
      </c>
      <c r="V1104" t="s">
        <v>5767</v>
      </c>
      <c r="W1104" t="s">
        <v>5772</v>
      </c>
      <c r="X1104" t="s">
        <v>175</v>
      </c>
      <c r="Y1104">
        <v>1322.73</v>
      </c>
      <c r="Z1104" t="s">
        <v>5803</v>
      </c>
      <c r="AA1104" t="s">
        <v>5804</v>
      </c>
      <c r="AB1104" t="s">
        <v>5821</v>
      </c>
      <c r="AC1104" t="s">
        <v>6837</v>
      </c>
      <c r="AD1104" t="s">
        <v>7687</v>
      </c>
      <c r="AE1104" t="s">
        <v>8821</v>
      </c>
      <c r="AF1104">
        <v>78</v>
      </c>
      <c r="AG1104" t="s">
        <v>9272</v>
      </c>
      <c r="AH1104" t="s">
        <v>4280</v>
      </c>
      <c r="AI1104">
        <v>20</v>
      </c>
      <c r="AJ1104">
        <v>2</v>
      </c>
      <c r="AK1104">
        <v>0</v>
      </c>
      <c r="AL1104">
        <v>66.11</v>
      </c>
      <c r="AP1104">
        <v>11180</v>
      </c>
      <c r="AV1104">
        <v>3</v>
      </c>
      <c r="AW1104" t="s">
        <v>74</v>
      </c>
    </row>
    <row r="1105" spans="1:49">
      <c r="A1105" s="1">
        <f>HYPERLINK("https://cms.ls-nyc.org/matter/dynamic-profile/view/1881552","18-1881552")</f>
        <v>0</v>
      </c>
      <c r="B1105" t="s">
        <v>74</v>
      </c>
      <c r="C1105" t="s">
        <v>83</v>
      </c>
      <c r="D1105" t="s">
        <v>269</v>
      </c>
      <c r="F1105" t="s">
        <v>1111</v>
      </c>
      <c r="G1105" t="s">
        <v>1182</v>
      </c>
      <c r="H1105" t="s">
        <v>3437</v>
      </c>
      <c r="I1105" t="s">
        <v>3996</v>
      </c>
      <c r="J1105" t="s">
        <v>4222</v>
      </c>
      <c r="K1105">
        <v>11435</v>
      </c>
      <c r="L1105" t="s">
        <v>4275</v>
      </c>
      <c r="M1105" t="s">
        <v>4275</v>
      </c>
      <c r="N1105" t="s">
        <v>4278</v>
      </c>
      <c r="O1105" t="s">
        <v>4282</v>
      </c>
      <c r="P1105" t="s">
        <v>5268</v>
      </c>
      <c r="Q1105" t="s">
        <v>5731</v>
      </c>
      <c r="R1105" t="s">
        <v>5753</v>
      </c>
      <c r="T1105" t="s">
        <v>5765</v>
      </c>
      <c r="V1105" t="s">
        <v>5767</v>
      </c>
      <c r="X1105" t="s">
        <v>269</v>
      </c>
      <c r="Y1105">
        <v>887.1900000000001</v>
      </c>
      <c r="Z1105" t="s">
        <v>5803</v>
      </c>
      <c r="AA1105" t="s">
        <v>5804</v>
      </c>
      <c r="AC1105" t="s">
        <v>6838</v>
      </c>
      <c r="AE1105" t="s">
        <v>8822</v>
      </c>
      <c r="AF1105">
        <v>30</v>
      </c>
      <c r="AG1105" t="s">
        <v>9272</v>
      </c>
      <c r="AH1105" t="s">
        <v>4280</v>
      </c>
      <c r="AI1105">
        <v>47</v>
      </c>
      <c r="AJ1105">
        <v>1</v>
      </c>
      <c r="AK1105">
        <v>0</v>
      </c>
      <c r="AL1105">
        <v>67.22</v>
      </c>
      <c r="AO1105" t="s">
        <v>1425</v>
      </c>
      <c r="AP1105">
        <v>8160</v>
      </c>
      <c r="AV1105">
        <v>1.25</v>
      </c>
      <c r="AW1105" t="s">
        <v>74</v>
      </c>
    </row>
    <row r="1106" spans="1:49">
      <c r="A1106" s="1">
        <f>HYPERLINK("https://cms.ls-nyc.org/matter/dynamic-profile/view/1875972","18-1875972")</f>
        <v>0</v>
      </c>
      <c r="B1106" t="s">
        <v>74</v>
      </c>
      <c r="C1106" t="s">
        <v>82</v>
      </c>
      <c r="D1106" t="s">
        <v>272</v>
      </c>
      <c r="E1106" t="s">
        <v>282</v>
      </c>
      <c r="F1106" t="s">
        <v>1112</v>
      </c>
      <c r="G1106" t="s">
        <v>2186</v>
      </c>
      <c r="H1106" t="s">
        <v>3438</v>
      </c>
      <c r="I1106" t="s">
        <v>3902</v>
      </c>
      <c r="J1106" t="s">
        <v>4225</v>
      </c>
      <c r="K1106">
        <v>11385</v>
      </c>
      <c r="L1106" t="s">
        <v>4275</v>
      </c>
      <c r="M1106" t="s">
        <v>4275</v>
      </c>
      <c r="O1106" t="s">
        <v>4282</v>
      </c>
      <c r="P1106" t="s">
        <v>5269</v>
      </c>
      <c r="Q1106" t="s">
        <v>5732</v>
      </c>
      <c r="R1106" t="s">
        <v>5753</v>
      </c>
      <c r="S1106" t="s">
        <v>5759</v>
      </c>
      <c r="T1106" t="s">
        <v>4276</v>
      </c>
      <c r="V1106" t="s">
        <v>5767</v>
      </c>
      <c r="Y1106">
        <v>1256</v>
      </c>
      <c r="Z1106" t="s">
        <v>5803</v>
      </c>
      <c r="AA1106" t="s">
        <v>5804</v>
      </c>
      <c r="AB1106" t="s">
        <v>5821</v>
      </c>
      <c r="AC1106" t="s">
        <v>6839</v>
      </c>
      <c r="AD1106" t="s">
        <v>7688</v>
      </c>
      <c r="AE1106" t="s">
        <v>8823</v>
      </c>
      <c r="AF1106">
        <v>6</v>
      </c>
      <c r="AG1106" t="s">
        <v>9272</v>
      </c>
      <c r="AH1106" t="s">
        <v>4280</v>
      </c>
      <c r="AI1106">
        <v>7</v>
      </c>
      <c r="AJ1106">
        <v>2</v>
      </c>
      <c r="AK1106">
        <v>0</v>
      </c>
      <c r="AL1106">
        <v>67.79000000000001</v>
      </c>
      <c r="AO1106" t="s">
        <v>1425</v>
      </c>
      <c r="AP1106">
        <v>11158</v>
      </c>
      <c r="AV1106">
        <v>2</v>
      </c>
      <c r="AW1106" t="s">
        <v>74</v>
      </c>
    </row>
    <row r="1107" spans="1:49">
      <c r="A1107" s="1">
        <f>HYPERLINK("https://cms.ls-nyc.org/matter/dynamic-profile/view/1873195","18-1873195")</f>
        <v>0</v>
      </c>
      <c r="B1107" t="s">
        <v>74</v>
      </c>
      <c r="C1107" t="s">
        <v>82</v>
      </c>
      <c r="D1107" t="s">
        <v>133</v>
      </c>
      <c r="E1107" t="s">
        <v>151</v>
      </c>
      <c r="F1107" t="s">
        <v>1113</v>
      </c>
      <c r="G1107" t="s">
        <v>2187</v>
      </c>
      <c r="H1107" t="s">
        <v>3439</v>
      </c>
      <c r="I1107">
        <v>2</v>
      </c>
      <c r="J1107" t="s">
        <v>4243</v>
      </c>
      <c r="K1107">
        <v>11691</v>
      </c>
      <c r="L1107" t="s">
        <v>4275</v>
      </c>
      <c r="M1107" t="s">
        <v>4275</v>
      </c>
      <c r="O1107" t="s">
        <v>4283</v>
      </c>
      <c r="P1107" t="s">
        <v>5270</v>
      </c>
      <c r="Q1107" t="s">
        <v>5732</v>
      </c>
      <c r="R1107" t="s">
        <v>5753</v>
      </c>
      <c r="S1107" t="s">
        <v>5759</v>
      </c>
      <c r="T1107" t="s">
        <v>4276</v>
      </c>
      <c r="V1107" t="s">
        <v>5767</v>
      </c>
      <c r="W1107" t="s">
        <v>5772</v>
      </c>
      <c r="X1107" t="s">
        <v>131</v>
      </c>
      <c r="Y1107">
        <v>1515</v>
      </c>
      <c r="Z1107" t="s">
        <v>5803</v>
      </c>
      <c r="AA1107" t="s">
        <v>5804</v>
      </c>
      <c r="AB1107" t="s">
        <v>5829</v>
      </c>
      <c r="AC1107" t="s">
        <v>6840</v>
      </c>
      <c r="AD1107" t="s">
        <v>7689</v>
      </c>
      <c r="AE1107" t="s">
        <v>8824</v>
      </c>
      <c r="AF1107">
        <v>2</v>
      </c>
      <c r="AG1107" t="s">
        <v>9269</v>
      </c>
      <c r="AH1107" t="s">
        <v>9283</v>
      </c>
      <c r="AI1107">
        <v>3</v>
      </c>
      <c r="AJ1107">
        <v>1</v>
      </c>
      <c r="AK1107">
        <v>2</v>
      </c>
      <c r="AL1107">
        <v>68.81999999999999</v>
      </c>
      <c r="AO1107" t="s">
        <v>1425</v>
      </c>
      <c r="AP1107">
        <v>14300</v>
      </c>
      <c r="AV1107">
        <v>1.4</v>
      </c>
      <c r="AW1107" t="s">
        <v>74</v>
      </c>
    </row>
    <row r="1108" spans="1:49">
      <c r="A1108" s="1">
        <f>HYPERLINK("https://cms.ls-nyc.org/matter/dynamic-profile/view/1898111","19-1898111")</f>
        <v>0</v>
      </c>
      <c r="B1108" t="s">
        <v>74</v>
      </c>
      <c r="C1108" t="s">
        <v>82</v>
      </c>
      <c r="D1108" t="s">
        <v>208</v>
      </c>
      <c r="E1108" t="s">
        <v>141</v>
      </c>
      <c r="F1108" t="s">
        <v>1114</v>
      </c>
      <c r="G1108" t="s">
        <v>339</v>
      </c>
      <c r="H1108" t="s">
        <v>3440</v>
      </c>
      <c r="I1108" t="s">
        <v>3912</v>
      </c>
      <c r="J1108" t="s">
        <v>4222</v>
      </c>
      <c r="K1108">
        <v>11435</v>
      </c>
      <c r="L1108" t="s">
        <v>4275</v>
      </c>
      <c r="M1108" t="s">
        <v>4275</v>
      </c>
      <c r="O1108" t="s">
        <v>4283</v>
      </c>
      <c r="P1108" t="s">
        <v>5271</v>
      </c>
      <c r="Q1108" t="s">
        <v>5733</v>
      </c>
      <c r="R1108" t="s">
        <v>5753</v>
      </c>
      <c r="S1108" t="s">
        <v>5759</v>
      </c>
      <c r="T1108" t="s">
        <v>4276</v>
      </c>
      <c r="V1108" t="s">
        <v>5767</v>
      </c>
      <c r="X1108" t="s">
        <v>208</v>
      </c>
      <c r="Y1108">
        <v>1060</v>
      </c>
      <c r="Z1108" t="s">
        <v>5803</v>
      </c>
      <c r="AA1108" t="s">
        <v>5804</v>
      </c>
      <c r="AB1108" t="s">
        <v>5821</v>
      </c>
      <c r="AC1108" t="s">
        <v>6841</v>
      </c>
      <c r="AE1108" t="s">
        <v>8825</v>
      </c>
      <c r="AF1108">
        <v>84</v>
      </c>
      <c r="AG1108" t="s">
        <v>9272</v>
      </c>
      <c r="AH1108" t="s">
        <v>4280</v>
      </c>
      <c r="AI1108">
        <v>12</v>
      </c>
      <c r="AJ1108">
        <v>3</v>
      </c>
      <c r="AK1108">
        <v>1</v>
      </c>
      <c r="AL1108">
        <v>70.28</v>
      </c>
      <c r="AO1108" t="s">
        <v>1425</v>
      </c>
      <c r="AP1108">
        <v>18096</v>
      </c>
      <c r="AV1108">
        <v>0.75</v>
      </c>
      <c r="AW1108" t="s">
        <v>74</v>
      </c>
    </row>
    <row r="1109" spans="1:49">
      <c r="A1109" s="1">
        <f>HYPERLINK("https://cms.ls-nyc.org/matter/dynamic-profile/view/1881868","18-1881868")</f>
        <v>0</v>
      </c>
      <c r="B1109" t="s">
        <v>74</v>
      </c>
      <c r="C1109" t="s">
        <v>83</v>
      </c>
      <c r="D1109" t="s">
        <v>170</v>
      </c>
      <c r="F1109" t="s">
        <v>1115</v>
      </c>
      <c r="G1109" t="s">
        <v>2188</v>
      </c>
      <c r="H1109" t="s">
        <v>3441</v>
      </c>
      <c r="I1109" t="s">
        <v>3867</v>
      </c>
      <c r="J1109" t="s">
        <v>4236</v>
      </c>
      <c r="K1109">
        <v>11416</v>
      </c>
      <c r="L1109" t="s">
        <v>4275</v>
      </c>
      <c r="M1109" t="s">
        <v>4275</v>
      </c>
      <c r="O1109" t="s">
        <v>4282</v>
      </c>
      <c r="P1109" t="s">
        <v>5272</v>
      </c>
      <c r="Q1109" t="s">
        <v>5732</v>
      </c>
      <c r="R1109" t="s">
        <v>5754</v>
      </c>
      <c r="T1109" t="s">
        <v>4275</v>
      </c>
      <c r="V1109" t="s">
        <v>5767</v>
      </c>
      <c r="Y1109">
        <v>1000</v>
      </c>
      <c r="Z1109" t="s">
        <v>5803</v>
      </c>
      <c r="AA1109" t="s">
        <v>5804</v>
      </c>
      <c r="AC1109" t="s">
        <v>6842</v>
      </c>
      <c r="AE1109" t="s">
        <v>8826</v>
      </c>
      <c r="AF1109">
        <v>2</v>
      </c>
      <c r="AG1109" t="s">
        <v>9269</v>
      </c>
      <c r="AH1109" t="s">
        <v>4280</v>
      </c>
      <c r="AI1109">
        <v>8</v>
      </c>
      <c r="AJ1109">
        <v>1</v>
      </c>
      <c r="AK1109">
        <v>0</v>
      </c>
      <c r="AL1109">
        <v>70.56999999999999</v>
      </c>
      <c r="AO1109" t="s">
        <v>9320</v>
      </c>
      <c r="AP1109">
        <v>8567</v>
      </c>
      <c r="AV1109">
        <v>1.5</v>
      </c>
      <c r="AW1109" t="s">
        <v>74</v>
      </c>
    </row>
    <row r="1110" spans="1:49">
      <c r="A1110" s="1">
        <f>HYPERLINK("https://cms.ls-nyc.org/matter/dynamic-profile/view/1888909","19-1888909")</f>
        <v>0</v>
      </c>
      <c r="B1110" t="s">
        <v>74</v>
      </c>
      <c r="C1110" t="s">
        <v>82</v>
      </c>
      <c r="D1110" t="s">
        <v>88</v>
      </c>
      <c r="E1110" t="s">
        <v>159</v>
      </c>
      <c r="F1110" t="s">
        <v>882</v>
      </c>
      <c r="G1110" t="s">
        <v>2189</v>
      </c>
      <c r="H1110" t="s">
        <v>3442</v>
      </c>
      <c r="I1110" t="s">
        <v>4133</v>
      </c>
      <c r="J1110" t="s">
        <v>4255</v>
      </c>
      <c r="K1110">
        <v>11372</v>
      </c>
      <c r="L1110" t="s">
        <v>4277</v>
      </c>
      <c r="M1110" t="s">
        <v>4277</v>
      </c>
      <c r="O1110" t="s">
        <v>4282</v>
      </c>
      <c r="P1110" t="s">
        <v>5273</v>
      </c>
      <c r="Q1110" t="s">
        <v>5731</v>
      </c>
      <c r="R1110" t="s">
        <v>5753</v>
      </c>
      <c r="S1110" t="s">
        <v>5759</v>
      </c>
      <c r="V1110" t="s">
        <v>5767</v>
      </c>
      <c r="Y1110">
        <v>813.54</v>
      </c>
      <c r="Z1110" t="s">
        <v>5803</v>
      </c>
      <c r="AA1110" t="s">
        <v>5804</v>
      </c>
      <c r="AB1110" t="s">
        <v>5821</v>
      </c>
      <c r="AC1110" t="s">
        <v>6843</v>
      </c>
      <c r="AE1110" t="s">
        <v>8827</v>
      </c>
      <c r="AF1110">
        <v>106</v>
      </c>
      <c r="AG1110" t="s">
        <v>9272</v>
      </c>
      <c r="AH1110" t="s">
        <v>9287</v>
      </c>
      <c r="AI1110">
        <v>45</v>
      </c>
      <c r="AJ1110">
        <v>1</v>
      </c>
      <c r="AK1110">
        <v>0</v>
      </c>
      <c r="AL1110">
        <v>74.08</v>
      </c>
      <c r="AP1110">
        <v>9252</v>
      </c>
      <c r="AV1110">
        <v>0.75</v>
      </c>
      <c r="AW1110" t="s">
        <v>74</v>
      </c>
    </row>
    <row r="1111" spans="1:49">
      <c r="A1111" s="1">
        <f>HYPERLINK("https://cms.ls-nyc.org/matter/dynamic-profile/view/1884614","18-1884614")</f>
        <v>0</v>
      </c>
      <c r="B1111" t="s">
        <v>74</v>
      </c>
      <c r="C1111" t="s">
        <v>82</v>
      </c>
      <c r="D1111" t="s">
        <v>142</v>
      </c>
      <c r="E1111" t="s">
        <v>141</v>
      </c>
      <c r="F1111" t="s">
        <v>554</v>
      </c>
      <c r="G1111" t="s">
        <v>2190</v>
      </c>
      <c r="H1111" t="s">
        <v>3443</v>
      </c>
      <c r="I1111" t="s">
        <v>3838</v>
      </c>
      <c r="J1111" t="s">
        <v>4222</v>
      </c>
      <c r="K1111">
        <v>11432</v>
      </c>
      <c r="L1111" t="s">
        <v>4277</v>
      </c>
      <c r="M1111" t="s">
        <v>4277</v>
      </c>
      <c r="O1111" t="s">
        <v>4282</v>
      </c>
      <c r="P1111" t="s">
        <v>4700</v>
      </c>
      <c r="Q1111" t="s">
        <v>4698</v>
      </c>
      <c r="R1111" t="s">
        <v>5753</v>
      </c>
      <c r="S1111" t="s">
        <v>5759</v>
      </c>
      <c r="T1111" t="s">
        <v>4276</v>
      </c>
      <c r="V1111" t="s">
        <v>5767</v>
      </c>
      <c r="Y1111">
        <v>982</v>
      </c>
      <c r="Z1111" t="s">
        <v>5803</v>
      </c>
      <c r="AA1111" t="s">
        <v>5811</v>
      </c>
      <c r="AB1111" t="s">
        <v>5821</v>
      </c>
      <c r="AC1111" t="s">
        <v>6844</v>
      </c>
      <c r="AE1111" t="s">
        <v>8828</v>
      </c>
      <c r="AF1111">
        <v>74</v>
      </c>
      <c r="AH1111" t="s">
        <v>5806</v>
      </c>
      <c r="AI1111">
        <v>25</v>
      </c>
      <c r="AJ1111">
        <v>1</v>
      </c>
      <c r="AK1111">
        <v>0</v>
      </c>
      <c r="AL1111">
        <v>78.19</v>
      </c>
      <c r="AO1111" t="s">
        <v>1425</v>
      </c>
      <c r="AP1111">
        <v>9492</v>
      </c>
      <c r="AV1111">
        <v>0.5</v>
      </c>
      <c r="AW1111" t="s">
        <v>74</v>
      </c>
    </row>
    <row r="1112" spans="1:49">
      <c r="A1112" s="1">
        <f>HYPERLINK("https://cms.ls-nyc.org/matter/dynamic-profile/view/1881255","18-1881255")</f>
        <v>0</v>
      </c>
      <c r="B1112" t="s">
        <v>74</v>
      </c>
      <c r="C1112" t="s">
        <v>82</v>
      </c>
      <c r="D1112" t="s">
        <v>140</v>
      </c>
      <c r="E1112" t="s">
        <v>152</v>
      </c>
      <c r="F1112" t="s">
        <v>1116</v>
      </c>
      <c r="G1112" t="s">
        <v>1851</v>
      </c>
      <c r="H1112" t="s">
        <v>2783</v>
      </c>
      <c r="I1112" t="s">
        <v>3932</v>
      </c>
      <c r="J1112" t="s">
        <v>4236</v>
      </c>
      <c r="K1112">
        <v>11416</v>
      </c>
      <c r="L1112" t="s">
        <v>4275</v>
      </c>
      <c r="M1112" t="s">
        <v>4275</v>
      </c>
      <c r="O1112" t="s">
        <v>4282</v>
      </c>
      <c r="P1112" t="s">
        <v>5274</v>
      </c>
      <c r="Q1112" t="s">
        <v>5731</v>
      </c>
      <c r="R1112" t="s">
        <v>5753</v>
      </c>
      <c r="S1112" t="s">
        <v>5759</v>
      </c>
      <c r="T1112" t="s">
        <v>4275</v>
      </c>
      <c r="V1112" t="s">
        <v>5767</v>
      </c>
      <c r="Y1112">
        <v>1470</v>
      </c>
      <c r="Z1112" t="s">
        <v>5803</v>
      </c>
      <c r="AA1112" t="s">
        <v>5804</v>
      </c>
      <c r="AB1112" t="s">
        <v>5821</v>
      </c>
      <c r="AC1112" t="s">
        <v>6845</v>
      </c>
      <c r="AD1112" t="s">
        <v>7690</v>
      </c>
      <c r="AE1112" t="s">
        <v>8829</v>
      </c>
      <c r="AF1112">
        <v>12</v>
      </c>
      <c r="AG1112" t="s">
        <v>9272</v>
      </c>
      <c r="AH1112" t="s">
        <v>4280</v>
      </c>
      <c r="AI1112">
        <v>2</v>
      </c>
      <c r="AJ1112">
        <v>1</v>
      </c>
      <c r="AK1112">
        <v>1</v>
      </c>
      <c r="AL1112">
        <v>78.98</v>
      </c>
      <c r="AO1112" t="s">
        <v>1425</v>
      </c>
      <c r="AP1112">
        <v>13000</v>
      </c>
      <c r="AV1112">
        <v>1</v>
      </c>
      <c r="AW1112" t="s">
        <v>74</v>
      </c>
    </row>
    <row r="1113" spans="1:49">
      <c r="A1113" s="1">
        <f>HYPERLINK("https://cms.ls-nyc.org/matter/dynamic-profile/view/1901016","19-1901016")</f>
        <v>0</v>
      </c>
      <c r="B1113" t="s">
        <v>74</v>
      </c>
      <c r="C1113" t="s">
        <v>83</v>
      </c>
      <c r="D1113" t="s">
        <v>217</v>
      </c>
      <c r="F1113" t="s">
        <v>635</v>
      </c>
      <c r="G1113" t="s">
        <v>1519</v>
      </c>
      <c r="H1113" t="s">
        <v>3444</v>
      </c>
      <c r="I1113" t="s">
        <v>4134</v>
      </c>
      <c r="J1113" t="s">
        <v>4227</v>
      </c>
      <c r="K1113">
        <v>11365</v>
      </c>
      <c r="L1113" t="s">
        <v>4277</v>
      </c>
      <c r="M1113" t="s">
        <v>4277</v>
      </c>
      <c r="O1113" t="s">
        <v>4282</v>
      </c>
      <c r="P1113" t="s">
        <v>5275</v>
      </c>
      <c r="Q1113" t="s">
        <v>5732</v>
      </c>
      <c r="T1113" t="s">
        <v>4276</v>
      </c>
      <c r="V1113" t="s">
        <v>5767</v>
      </c>
      <c r="W1113" t="s">
        <v>5772</v>
      </c>
      <c r="Y1113">
        <v>2000</v>
      </c>
      <c r="Z1113" t="s">
        <v>5803</v>
      </c>
      <c r="AA1113" t="s">
        <v>5804</v>
      </c>
      <c r="AC1113" t="s">
        <v>6846</v>
      </c>
      <c r="AE1113" t="s">
        <v>8830</v>
      </c>
      <c r="AF1113">
        <v>3</v>
      </c>
      <c r="AG1113" t="s">
        <v>9269</v>
      </c>
      <c r="AH1113" t="s">
        <v>4280</v>
      </c>
      <c r="AI1113">
        <v>8</v>
      </c>
      <c r="AJ1113">
        <v>2</v>
      </c>
      <c r="AK1113">
        <v>3</v>
      </c>
      <c r="AL1113">
        <v>79.55</v>
      </c>
      <c r="AO1113" t="s">
        <v>1425</v>
      </c>
      <c r="AP1113">
        <v>24000</v>
      </c>
      <c r="AV1113">
        <v>1</v>
      </c>
      <c r="AW1113" t="s">
        <v>74</v>
      </c>
    </row>
    <row r="1114" spans="1:49">
      <c r="A1114" s="1">
        <f>HYPERLINK("https://cms.ls-nyc.org/matter/dynamic-profile/view/1880604","18-1880604")</f>
        <v>0</v>
      </c>
      <c r="B1114" t="s">
        <v>74</v>
      </c>
      <c r="C1114" t="s">
        <v>82</v>
      </c>
      <c r="D1114" t="s">
        <v>227</v>
      </c>
      <c r="E1114" t="s">
        <v>170</v>
      </c>
      <c r="F1114" t="s">
        <v>693</v>
      </c>
      <c r="G1114" t="s">
        <v>1385</v>
      </c>
      <c r="H1114" t="s">
        <v>3445</v>
      </c>
      <c r="I1114" t="s">
        <v>3875</v>
      </c>
      <c r="J1114" t="s">
        <v>4229</v>
      </c>
      <c r="K1114">
        <v>11367</v>
      </c>
      <c r="L1114" t="s">
        <v>4275</v>
      </c>
      <c r="M1114" t="s">
        <v>4275</v>
      </c>
      <c r="O1114" t="s">
        <v>4282</v>
      </c>
      <c r="P1114" t="s">
        <v>5276</v>
      </c>
      <c r="Q1114" t="s">
        <v>5732</v>
      </c>
      <c r="R1114" t="s">
        <v>5753</v>
      </c>
      <c r="S1114" t="s">
        <v>5759</v>
      </c>
      <c r="T1114" t="s">
        <v>4276</v>
      </c>
      <c r="V1114" t="s">
        <v>5767</v>
      </c>
      <c r="X1114" t="s">
        <v>227</v>
      </c>
      <c r="Y1114">
        <v>600</v>
      </c>
      <c r="Z1114" t="s">
        <v>5803</v>
      </c>
      <c r="AA1114" t="s">
        <v>5804</v>
      </c>
      <c r="AB1114" t="s">
        <v>5821</v>
      </c>
      <c r="AC1114" t="s">
        <v>6847</v>
      </c>
      <c r="AD1114" t="s">
        <v>7691</v>
      </c>
      <c r="AE1114" t="s">
        <v>8831</v>
      </c>
      <c r="AF1114">
        <v>10</v>
      </c>
      <c r="AG1114" t="s">
        <v>9272</v>
      </c>
      <c r="AH1114" t="s">
        <v>4280</v>
      </c>
      <c r="AI1114">
        <v>4</v>
      </c>
      <c r="AJ1114">
        <v>1</v>
      </c>
      <c r="AK1114">
        <v>1</v>
      </c>
      <c r="AL1114">
        <v>82.14</v>
      </c>
      <c r="AO1114" t="s">
        <v>9298</v>
      </c>
      <c r="AP1114">
        <v>13520</v>
      </c>
      <c r="AV1114">
        <v>0.6</v>
      </c>
      <c r="AW1114" t="s">
        <v>74</v>
      </c>
    </row>
    <row r="1115" spans="1:49">
      <c r="A1115" s="1">
        <f>HYPERLINK("https://cms.ls-nyc.org/matter/dynamic-profile/view/1888651","19-1888651")</f>
        <v>0</v>
      </c>
      <c r="B1115" t="s">
        <v>74</v>
      </c>
      <c r="C1115" t="s">
        <v>83</v>
      </c>
      <c r="D1115" t="s">
        <v>125</v>
      </c>
      <c r="F1115" t="s">
        <v>1117</v>
      </c>
      <c r="G1115" t="s">
        <v>2191</v>
      </c>
      <c r="H1115" t="s">
        <v>3446</v>
      </c>
      <c r="I1115" t="s">
        <v>3915</v>
      </c>
      <c r="J1115" t="s">
        <v>4222</v>
      </c>
      <c r="K1115">
        <v>11435</v>
      </c>
      <c r="L1115" t="s">
        <v>4277</v>
      </c>
      <c r="M1115" t="s">
        <v>4277</v>
      </c>
      <c r="O1115" t="s">
        <v>4282</v>
      </c>
      <c r="P1115" t="s">
        <v>5277</v>
      </c>
      <c r="Q1115" t="s">
        <v>5731</v>
      </c>
      <c r="R1115" t="s">
        <v>5753</v>
      </c>
      <c r="V1115" t="s">
        <v>5767</v>
      </c>
      <c r="Y1115">
        <v>1327</v>
      </c>
      <c r="Z1115" t="s">
        <v>5803</v>
      </c>
      <c r="AA1115" t="s">
        <v>5804</v>
      </c>
      <c r="AC1115" t="s">
        <v>6848</v>
      </c>
      <c r="AD1115" t="s">
        <v>7692</v>
      </c>
      <c r="AE1115" t="s">
        <v>8832</v>
      </c>
      <c r="AF1115">
        <v>8</v>
      </c>
      <c r="AG1115" t="s">
        <v>9272</v>
      </c>
      <c r="AH1115" t="s">
        <v>4280</v>
      </c>
      <c r="AI1115">
        <v>8</v>
      </c>
      <c r="AJ1115">
        <v>3</v>
      </c>
      <c r="AK1115">
        <v>0</v>
      </c>
      <c r="AL1115">
        <v>84.39</v>
      </c>
      <c r="AP1115">
        <v>18000</v>
      </c>
      <c r="AV1115">
        <v>3.6</v>
      </c>
      <c r="AW1115" t="s">
        <v>74</v>
      </c>
    </row>
    <row r="1116" spans="1:49">
      <c r="A1116" s="1">
        <f>HYPERLINK("https://cms.ls-nyc.org/matter/dynamic-profile/view/1893613","19-1893613")</f>
        <v>0</v>
      </c>
      <c r="B1116" t="s">
        <v>74</v>
      </c>
      <c r="C1116" t="s">
        <v>82</v>
      </c>
      <c r="D1116" t="s">
        <v>273</v>
      </c>
      <c r="E1116" t="s">
        <v>179</v>
      </c>
      <c r="F1116" t="s">
        <v>550</v>
      </c>
      <c r="G1116" t="s">
        <v>2192</v>
      </c>
      <c r="H1116" t="s">
        <v>3447</v>
      </c>
      <c r="J1116" t="s">
        <v>4225</v>
      </c>
      <c r="K1116">
        <v>11385</v>
      </c>
      <c r="L1116" t="s">
        <v>4275</v>
      </c>
      <c r="M1116" t="s">
        <v>4275</v>
      </c>
      <c r="O1116" t="s">
        <v>4282</v>
      </c>
      <c r="P1116" t="s">
        <v>5278</v>
      </c>
      <c r="Q1116" t="s">
        <v>5733</v>
      </c>
      <c r="R1116" t="s">
        <v>5753</v>
      </c>
      <c r="S1116" t="s">
        <v>5759</v>
      </c>
      <c r="T1116" t="s">
        <v>5765</v>
      </c>
      <c r="V1116" t="s">
        <v>5767</v>
      </c>
      <c r="W1116" t="s">
        <v>5772</v>
      </c>
      <c r="X1116" t="s">
        <v>273</v>
      </c>
      <c r="Y1116">
        <v>1034.69</v>
      </c>
      <c r="Z1116" t="s">
        <v>5803</v>
      </c>
      <c r="AA1116" t="s">
        <v>5804</v>
      </c>
      <c r="AB1116" t="s">
        <v>5821</v>
      </c>
      <c r="AC1116" t="s">
        <v>6849</v>
      </c>
      <c r="AD1116" t="s">
        <v>7693</v>
      </c>
      <c r="AE1116" t="s">
        <v>8833</v>
      </c>
      <c r="AF1116">
        <v>6</v>
      </c>
      <c r="AG1116" t="s">
        <v>9272</v>
      </c>
      <c r="AH1116" t="s">
        <v>9282</v>
      </c>
      <c r="AI1116">
        <v>20</v>
      </c>
      <c r="AJ1116">
        <v>1</v>
      </c>
      <c r="AK1116">
        <v>1</v>
      </c>
      <c r="AL1116">
        <v>84.94</v>
      </c>
      <c r="AO1116" t="s">
        <v>1425</v>
      </c>
      <c r="AP1116">
        <v>14364</v>
      </c>
      <c r="AV1116">
        <v>1.5</v>
      </c>
      <c r="AW1116" t="s">
        <v>74</v>
      </c>
    </row>
    <row r="1117" spans="1:49">
      <c r="A1117" s="1">
        <f>HYPERLINK("https://cms.ls-nyc.org/matter/dynamic-profile/view/1894876","19-1894876")</f>
        <v>0</v>
      </c>
      <c r="B1117" t="s">
        <v>74</v>
      </c>
      <c r="C1117" t="s">
        <v>82</v>
      </c>
      <c r="D1117" t="s">
        <v>101</v>
      </c>
      <c r="E1117" t="s">
        <v>101</v>
      </c>
      <c r="F1117" t="s">
        <v>358</v>
      </c>
      <c r="G1117" t="s">
        <v>2193</v>
      </c>
      <c r="H1117" t="s">
        <v>2563</v>
      </c>
      <c r="I1117" t="s">
        <v>3847</v>
      </c>
      <c r="J1117" t="s">
        <v>4222</v>
      </c>
      <c r="K1117">
        <v>11433</v>
      </c>
      <c r="L1117" t="s">
        <v>4275</v>
      </c>
      <c r="M1117" t="s">
        <v>4276</v>
      </c>
      <c r="O1117" t="s">
        <v>4282</v>
      </c>
      <c r="P1117" t="s">
        <v>5279</v>
      </c>
      <c r="Q1117" t="s">
        <v>5733</v>
      </c>
      <c r="R1117" t="s">
        <v>5753</v>
      </c>
      <c r="S1117" t="s">
        <v>5759</v>
      </c>
      <c r="T1117" t="s">
        <v>4275</v>
      </c>
      <c r="V1117" t="s">
        <v>5767</v>
      </c>
      <c r="X1117" t="s">
        <v>101</v>
      </c>
      <c r="Y1117">
        <v>266</v>
      </c>
      <c r="Z1117" t="s">
        <v>5803</v>
      </c>
      <c r="AA1117" t="s">
        <v>5804</v>
      </c>
      <c r="AB1117" t="s">
        <v>5821</v>
      </c>
      <c r="AC1117" t="s">
        <v>6850</v>
      </c>
      <c r="AE1117" t="s">
        <v>8834</v>
      </c>
      <c r="AF1117">
        <v>100</v>
      </c>
      <c r="AG1117" t="s">
        <v>9271</v>
      </c>
      <c r="AI1117">
        <v>20</v>
      </c>
      <c r="AJ1117">
        <v>1</v>
      </c>
      <c r="AK1117">
        <v>0</v>
      </c>
      <c r="AL1117">
        <v>86.47</v>
      </c>
      <c r="AO1117" t="s">
        <v>9298</v>
      </c>
      <c r="AP1117">
        <v>10800</v>
      </c>
      <c r="AV1117">
        <v>2</v>
      </c>
      <c r="AW1117" t="s">
        <v>74</v>
      </c>
    </row>
    <row r="1118" spans="1:49">
      <c r="A1118" s="1">
        <f>HYPERLINK("https://cms.ls-nyc.org/matter/dynamic-profile/view/1875727","18-1875727")</f>
        <v>0</v>
      </c>
      <c r="B1118" t="s">
        <v>74</v>
      </c>
      <c r="C1118" t="s">
        <v>82</v>
      </c>
      <c r="D1118" t="s">
        <v>151</v>
      </c>
      <c r="E1118" t="s">
        <v>303</v>
      </c>
      <c r="F1118" t="s">
        <v>819</v>
      </c>
      <c r="G1118" t="s">
        <v>1852</v>
      </c>
      <c r="H1118" t="s">
        <v>3448</v>
      </c>
      <c r="I1118" t="s">
        <v>4135</v>
      </c>
      <c r="J1118" t="s">
        <v>4256</v>
      </c>
      <c r="K1118">
        <v>11411</v>
      </c>
      <c r="L1118" t="s">
        <v>4275</v>
      </c>
      <c r="M1118" t="s">
        <v>4275</v>
      </c>
      <c r="O1118" t="s">
        <v>4282</v>
      </c>
      <c r="P1118" t="s">
        <v>5280</v>
      </c>
      <c r="Q1118" t="s">
        <v>5732</v>
      </c>
      <c r="R1118" t="s">
        <v>5753</v>
      </c>
      <c r="S1118" t="s">
        <v>5759</v>
      </c>
      <c r="T1118" t="s">
        <v>4276</v>
      </c>
      <c r="V1118" t="s">
        <v>5767</v>
      </c>
      <c r="X1118" t="s">
        <v>151</v>
      </c>
      <c r="Y1118">
        <v>1800</v>
      </c>
      <c r="Z1118" t="s">
        <v>5803</v>
      </c>
      <c r="AA1118" t="s">
        <v>5804</v>
      </c>
      <c r="AB1118" t="s">
        <v>5821</v>
      </c>
      <c r="AC1118" t="s">
        <v>6851</v>
      </c>
      <c r="AD1118" t="s">
        <v>7694</v>
      </c>
      <c r="AE1118" t="s">
        <v>8835</v>
      </c>
      <c r="AF1118">
        <v>1</v>
      </c>
      <c r="AG1118" t="s">
        <v>9269</v>
      </c>
      <c r="AH1118" t="s">
        <v>4280</v>
      </c>
      <c r="AI1118">
        <v>6</v>
      </c>
      <c r="AJ1118">
        <v>2</v>
      </c>
      <c r="AK1118">
        <v>3</v>
      </c>
      <c r="AL1118">
        <v>86.73999999999999</v>
      </c>
      <c r="AP1118">
        <v>25520</v>
      </c>
      <c r="AV1118">
        <v>0.5</v>
      </c>
      <c r="AW1118" t="s">
        <v>74</v>
      </c>
    </row>
    <row r="1119" spans="1:49">
      <c r="A1119" s="1">
        <f>HYPERLINK("https://cms.ls-nyc.org/matter/dynamic-profile/view/1893482","19-1893482")</f>
        <v>0</v>
      </c>
      <c r="B1119" t="s">
        <v>74</v>
      </c>
      <c r="C1119" t="s">
        <v>82</v>
      </c>
      <c r="D1119" t="s">
        <v>209</v>
      </c>
      <c r="E1119" t="s">
        <v>179</v>
      </c>
      <c r="F1119" t="s">
        <v>1118</v>
      </c>
      <c r="G1119" t="s">
        <v>2194</v>
      </c>
      <c r="H1119" t="s">
        <v>3449</v>
      </c>
      <c r="I1119" t="s">
        <v>3976</v>
      </c>
      <c r="J1119" t="s">
        <v>4241</v>
      </c>
      <c r="K1119">
        <v>11368</v>
      </c>
      <c r="L1119" t="s">
        <v>4275</v>
      </c>
      <c r="M1119" t="s">
        <v>4275</v>
      </c>
      <c r="O1119" t="s">
        <v>4282</v>
      </c>
      <c r="P1119" t="s">
        <v>5281</v>
      </c>
      <c r="Q1119" t="s">
        <v>5733</v>
      </c>
      <c r="R1119" t="s">
        <v>5753</v>
      </c>
      <c r="S1119" t="s">
        <v>5759</v>
      </c>
      <c r="T1119" t="s">
        <v>4275</v>
      </c>
      <c r="V1119" t="s">
        <v>5767</v>
      </c>
      <c r="W1119" t="s">
        <v>5772</v>
      </c>
      <c r="X1119" t="s">
        <v>5797</v>
      </c>
      <c r="Y1119">
        <v>2476</v>
      </c>
      <c r="Z1119" t="s">
        <v>5803</v>
      </c>
      <c r="AA1119" t="s">
        <v>5804</v>
      </c>
      <c r="AB1119" t="s">
        <v>5821</v>
      </c>
      <c r="AC1119" t="s">
        <v>6852</v>
      </c>
      <c r="AE1119" t="s">
        <v>8836</v>
      </c>
      <c r="AF1119">
        <v>4</v>
      </c>
      <c r="AG1119" t="s">
        <v>9277</v>
      </c>
      <c r="AH1119" t="s">
        <v>4280</v>
      </c>
      <c r="AI1119">
        <v>1</v>
      </c>
      <c r="AJ1119">
        <v>1</v>
      </c>
      <c r="AK1119">
        <v>4</v>
      </c>
      <c r="AL1119">
        <v>88.72</v>
      </c>
      <c r="AO1119" t="s">
        <v>1425</v>
      </c>
      <c r="AP1119">
        <v>26768</v>
      </c>
      <c r="AV1119">
        <v>2.5</v>
      </c>
      <c r="AW1119" t="s">
        <v>74</v>
      </c>
    </row>
    <row r="1120" spans="1:49">
      <c r="A1120" s="1">
        <f>HYPERLINK("https://cms.ls-nyc.org/matter/dynamic-profile/view/1896576","19-1896576")</f>
        <v>0</v>
      </c>
      <c r="B1120" t="s">
        <v>74</v>
      </c>
      <c r="C1120" t="s">
        <v>82</v>
      </c>
      <c r="D1120" t="s">
        <v>248</v>
      </c>
      <c r="E1120" t="s">
        <v>275</v>
      </c>
      <c r="F1120" t="s">
        <v>376</v>
      </c>
      <c r="G1120" t="s">
        <v>2195</v>
      </c>
      <c r="H1120" t="s">
        <v>3450</v>
      </c>
      <c r="I1120" t="s">
        <v>3867</v>
      </c>
      <c r="J1120" t="s">
        <v>4238</v>
      </c>
      <c r="K1120">
        <v>11413</v>
      </c>
      <c r="L1120" t="s">
        <v>4275</v>
      </c>
      <c r="M1120" t="s">
        <v>4275</v>
      </c>
      <c r="O1120" t="s">
        <v>4283</v>
      </c>
      <c r="P1120" t="s">
        <v>5282</v>
      </c>
      <c r="Q1120" t="s">
        <v>5732</v>
      </c>
      <c r="R1120" t="s">
        <v>5753</v>
      </c>
      <c r="S1120" t="s">
        <v>5759</v>
      </c>
      <c r="V1120" t="s">
        <v>5767</v>
      </c>
      <c r="W1120" t="s">
        <v>5772</v>
      </c>
      <c r="X1120" t="s">
        <v>248</v>
      </c>
      <c r="Y1120">
        <v>1800</v>
      </c>
      <c r="Z1120" t="s">
        <v>5803</v>
      </c>
      <c r="AA1120" t="s">
        <v>5804</v>
      </c>
      <c r="AB1120" t="s">
        <v>5821</v>
      </c>
      <c r="AC1120" t="s">
        <v>6853</v>
      </c>
      <c r="AD1120" t="s">
        <v>7695</v>
      </c>
      <c r="AE1120" t="s">
        <v>8837</v>
      </c>
      <c r="AF1120">
        <v>3</v>
      </c>
      <c r="AG1120" t="s">
        <v>9269</v>
      </c>
      <c r="AH1120" t="s">
        <v>4280</v>
      </c>
      <c r="AI1120">
        <v>6</v>
      </c>
      <c r="AJ1120">
        <v>4</v>
      </c>
      <c r="AK1120">
        <v>4</v>
      </c>
      <c r="AL1120">
        <v>89.8</v>
      </c>
      <c r="AP1120">
        <v>39000</v>
      </c>
      <c r="AV1120">
        <v>1.5</v>
      </c>
      <c r="AW1120" t="s">
        <v>74</v>
      </c>
    </row>
    <row r="1121" spans="1:49">
      <c r="A1121" s="1">
        <f>HYPERLINK("https://cms.ls-nyc.org/matter/dynamic-profile/view/1892539","19-1892539")</f>
        <v>0</v>
      </c>
      <c r="B1121" t="s">
        <v>74</v>
      </c>
      <c r="C1121" t="s">
        <v>82</v>
      </c>
      <c r="D1121" t="s">
        <v>163</v>
      </c>
      <c r="E1121" t="s">
        <v>211</v>
      </c>
      <c r="F1121" t="s">
        <v>437</v>
      </c>
      <c r="G1121" t="s">
        <v>1491</v>
      </c>
      <c r="H1121" t="s">
        <v>2616</v>
      </c>
      <c r="I1121" t="s">
        <v>3905</v>
      </c>
      <c r="J1121" t="s">
        <v>4235</v>
      </c>
      <c r="K1121">
        <v>11421</v>
      </c>
      <c r="L1121" t="s">
        <v>4275</v>
      </c>
      <c r="M1121" t="s">
        <v>4277</v>
      </c>
      <c r="O1121" t="s">
        <v>4282</v>
      </c>
      <c r="P1121" t="s">
        <v>5283</v>
      </c>
      <c r="Q1121" t="s">
        <v>5733</v>
      </c>
      <c r="R1121" t="s">
        <v>5753</v>
      </c>
      <c r="S1121" t="s">
        <v>5759</v>
      </c>
      <c r="V1121" t="s">
        <v>5767</v>
      </c>
      <c r="X1121" t="s">
        <v>163</v>
      </c>
      <c r="Y1121">
        <v>2525</v>
      </c>
      <c r="Z1121" t="s">
        <v>5803</v>
      </c>
      <c r="AA1121" t="s">
        <v>5804</v>
      </c>
      <c r="AB1121" t="s">
        <v>5821</v>
      </c>
      <c r="AC1121" t="s">
        <v>5956</v>
      </c>
      <c r="AE1121" t="s">
        <v>7965</v>
      </c>
      <c r="AF1121">
        <v>2</v>
      </c>
      <c r="AG1121" t="s">
        <v>9269</v>
      </c>
      <c r="AH1121" t="s">
        <v>4280</v>
      </c>
      <c r="AI1121">
        <v>2</v>
      </c>
      <c r="AJ1121">
        <v>2</v>
      </c>
      <c r="AK1121">
        <v>4</v>
      </c>
      <c r="AL1121">
        <v>90.03</v>
      </c>
      <c r="AO1121" t="s">
        <v>1425</v>
      </c>
      <c r="AP1121">
        <v>31140</v>
      </c>
      <c r="AV1121">
        <v>2.5</v>
      </c>
      <c r="AW1121" t="s">
        <v>74</v>
      </c>
    </row>
    <row r="1122" spans="1:49">
      <c r="A1122" s="1">
        <f>HYPERLINK("https://cms.ls-nyc.org/matter/dynamic-profile/view/1881283","18-1881283")</f>
        <v>0</v>
      </c>
      <c r="B1122" t="s">
        <v>74</v>
      </c>
      <c r="C1122" t="s">
        <v>82</v>
      </c>
      <c r="D1122" t="s">
        <v>140</v>
      </c>
      <c r="E1122" t="s">
        <v>201</v>
      </c>
      <c r="F1122" t="s">
        <v>1119</v>
      </c>
      <c r="G1122" t="s">
        <v>2196</v>
      </c>
      <c r="H1122" t="s">
        <v>3451</v>
      </c>
      <c r="J1122" t="s">
        <v>4223</v>
      </c>
      <c r="K1122">
        <v>11423</v>
      </c>
      <c r="L1122" t="s">
        <v>4275</v>
      </c>
      <c r="M1122" t="s">
        <v>4275</v>
      </c>
      <c r="O1122" t="s">
        <v>4282</v>
      </c>
      <c r="P1122" t="s">
        <v>5284</v>
      </c>
      <c r="Q1122" t="s">
        <v>5741</v>
      </c>
      <c r="R1122" t="s">
        <v>5753</v>
      </c>
      <c r="S1122" t="s">
        <v>5759</v>
      </c>
      <c r="T1122" t="s">
        <v>4276</v>
      </c>
      <c r="V1122" t="s">
        <v>5767</v>
      </c>
      <c r="W1122" t="s">
        <v>5772</v>
      </c>
      <c r="X1122" t="s">
        <v>274</v>
      </c>
      <c r="Y1122">
        <v>0</v>
      </c>
      <c r="Z1122" t="s">
        <v>5803</v>
      </c>
      <c r="AA1122" t="s">
        <v>5804</v>
      </c>
      <c r="AB1122" t="s">
        <v>5821</v>
      </c>
      <c r="AC1122" t="s">
        <v>6854</v>
      </c>
      <c r="AE1122" t="s">
        <v>8838</v>
      </c>
      <c r="AF1122">
        <v>2</v>
      </c>
      <c r="AG1122" t="s">
        <v>9269</v>
      </c>
      <c r="AH1122" t="s">
        <v>4280</v>
      </c>
      <c r="AI1122">
        <v>15</v>
      </c>
      <c r="AJ1122">
        <v>1</v>
      </c>
      <c r="AK1122">
        <v>0</v>
      </c>
      <c r="AL1122">
        <v>98.84999999999999</v>
      </c>
      <c r="AO1122" t="s">
        <v>1425</v>
      </c>
      <c r="AP1122">
        <v>12000</v>
      </c>
      <c r="AV1122">
        <v>0.6</v>
      </c>
      <c r="AW1122" t="s">
        <v>74</v>
      </c>
    </row>
    <row r="1123" spans="1:49">
      <c r="A1123" s="1">
        <f>HYPERLINK("https://cms.ls-nyc.org/matter/dynamic-profile/view/1896588","19-1896588")</f>
        <v>0</v>
      </c>
      <c r="B1123" t="s">
        <v>74</v>
      </c>
      <c r="C1123" t="s">
        <v>82</v>
      </c>
      <c r="D1123" t="s">
        <v>248</v>
      </c>
      <c r="E1123" t="s">
        <v>216</v>
      </c>
      <c r="F1123" t="s">
        <v>737</v>
      </c>
      <c r="G1123" t="s">
        <v>2113</v>
      </c>
      <c r="H1123" t="s">
        <v>3452</v>
      </c>
      <c r="I1123" t="s">
        <v>3996</v>
      </c>
      <c r="J1123" t="s">
        <v>4227</v>
      </c>
      <c r="K1123">
        <v>11365</v>
      </c>
      <c r="L1123" t="s">
        <v>4275</v>
      </c>
      <c r="M1123" t="s">
        <v>4275</v>
      </c>
      <c r="O1123" t="s">
        <v>4282</v>
      </c>
      <c r="P1123" t="s">
        <v>5285</v>
      </c>
      <c r="Q1123" t="s">
        <v>5731</v>
      </c>
      <c r="R1123" t="s">
        <v>5753</v>
      </c>
      <c r="S1123" t="s">
        <v>5759</v>
      </c>
      <c r="V1123" t="s">
        <v>5767</v>
      </c>
      <c r="W1123" t="s">
        <v>5772</v>
      </c>
      <c r="X1123" t="s">
        <v>5798</v>
      </c>
      <c r="Y1123">
        <v>1299</v>
      </c>
      <c r="Z1123" t="s">
        <v>5803</v>
      </c>
      <c r="AA1123" t="s">
        <v>5804</v>
      </c>
      <c r="AB1123" t="s">
        <v>5821</v>
      </c>
      <c r="AC1123" t="s">
        <v>6855</v>
      </c>
      <c r="AE1123" t="s">
        <v>8839</v>
      </c>
      <c r="AF1123">
        <v>9</v>
      </c>
      <c r="AG1123" t="s">
        <v>9272</v>
      </c>
      <c r="AH1123" t="s">
        <v>4280</v>
      </c>
      <c r="AI1123">
        <v>14</v>
      </c>
      <c r="AJ1123">
        <v>2</v>
      </c>
      <c r="AK1123">
        <v>0</v>
      </c>
      <c r="AL1123">
        <v>99.81999999999999</v>
      </c>
      <c r="AO1123" t="s">
        <v>1425</v>
      </c>
      <c r="AP1123">
        <v>16880</v>
      </c>
      <c r="AV1123">
        <v>2</v>
      </c>
      <c r="AW1123" t="s">
        <v>74</v>
      </c>
    </row>
    <row r="1124" spans="1:49">
      <c r="A1124" s="1">
        <f>HYPERLINK("https://cms.ls-nyc.org/matter/dynamic-profile/view/1891212","19-1891212")</f>
        <v>0</v>
      </c>
      <c r="B1124" t="s">
        <v>74</v>
      </c>
      <c r="C1124" t="s">
        <v>82</v>
      </c>
      <c r="D1124" t="s">
        <v>167</v>
      </c>
      <c r="E1124" t="s">
        <v>96</v>
      </c>
      <c r="F1124" t="s">
        <v>398</v>
      </c>
      <c r="G1124" t="s">
        <v>2197</v>
      </c>
      <c r="H1124" t="s">
        <v>3453</v>
      </c>
      <c r="I1124">
        <v>3</v>
      </c>
      <c r="J1124" t="s">
        <v>4236</v>
      </c>
      <c r="K1124">
        <v>11416</v>
      </c>
      <c r="L1124" t="s">
        <v>4275</v>
      </c>
      <c r="M1124" t="s">
        <v>4275</v>
      </c>
      <c r="O1124" t="s">
        <v>4282</v>
      </c>
      <c r="P1124" t="s">
        <v>5286</v>
      </c>
      <c r="Q1124" t="s">
        <v>5732</v>
      </c>
      <c r="R1124" t="s">
        <v>5753</v>
      </c>
      <c r="S1124" t="s">
        <v>5759</v>
      </c>
      <c r="V1124" t="s">
        <v>5767</v>
      </c>
      <c r="X1124" t="s">
        <v>167</v>
      </c>
      <c r="Y1124">
        <v>1700</v>
      </c>
      <c r="Z1124" t="s">
        <v>5803</v>
      </c>
      <c r="AA1124" t="s">
        <v>5804</v>
      </c>
      <c r="AB1124" t="s">
        <v>5821</v>
      </c>
      <c r="AC1124" t="s">
        <v>6856</v>
      </c>
      <c r="AD1124" t="s">
        <v>7696</v>
      </c>
      <c r="AE1124" t="s">
        <v>8840</v>
      </c>
      <c r="AF1124">
        <v>3</v>
      </c>
      <c r="AG1124" t="s">
        <v>9270</v>
      </c>
      <c r="AH1124" t="s">
        <v>4280</v>
      </c>
      <c r="AI1124">
        <v>4</v>
      </c>
      <c r="AJ1124">
        <v>1</v>
      </c>
      <c r="AK1124">
        <v>2</v>
      </c>
      <c r="AL1124">
        <v>100.03</v>
      </c>
      <c r="AO1124" t="s">
        <v>1425</v>
      </c>
      <c r="AP1124">
        <v>21336</v>
      </c>
      <c r="AV1124">
        <v>0.75</v>
      </c>
      <c r="AW1124" t="s">
        <v>74</v>
      </c>
    </row>
    <row r="1125" spans="1:49">
      <c r="A1125" s="1">
        <f>HYPERLINK("https://cms.ls-nyc.org/matter/dynamic-profile/view/1881009","18-1881009")</f>
        <v>0</v>
      </c>
      <c r="B1125" t="s">
        <v>74</v>
      </c>
      <c r="C1125" t="s">
        <v>82</v>
      </c>
      <c r="D1125" t="s">
        <v>256</v>
      </c>
      <c r="E1125" t="s">
        <v>93</v>
      </c>
      <c r="F1125" t="s">
        <v>1120</v>
      </c>
      <c r="G1125" t="s">
        <v>1793</v>
      </c>
      <c r="H1125" t="s">
        <v>3454</v>
      </c>
      <c r="I1125" t="s">
        <v>3867</v>
      </c>
      <c r="J1125" t="s">
        <v>4222</v>
      </c>
      <c r="K1125">
        <v>11433</v>
      </c>
      <c r="L1125" t="s">
        <v>4276</v>
      </c>
      <c r="M1125" t="s">
        <v>4276</v>
      </c>
      <c r="O1125" t="s">
        <v>4282</v>
      </c>
      <c r="P1125" t="s">
        <v>4700</v>
      </c>
      <c r="Q1125" t="s">
        <v>5737</v>
      </c>
      <c r="R1125" t="s">
        <v>5753</v>
      </c>
      <c r="S1125" t="s">
        <v>5759</v>
      </c>
      <c r="T1125" t="s">
        <v>4276</v>
      </c>
      <c r="V1125" t="s">
        <v>5767</v>
      </c>
      <c r="W1125" t="s">
        <v>5772</v>
      </c>
      <c r="Y1125">
        <v>2400</v>
      </c>
      <c r="Z1125" t="s">
        <v>5803</v>
      </c>
      <c r="AA1125" t="s">
        <v>5815</v>
      </c>
      <c r="AB1125" t="s">
        <v>5821</v>
      </c>
      <c r="AC1125" t="s">
        <v>6857</v>
      </c>
      <c r="AE1125" t="s">
        <v>7289</v>
      </c>
      <c r="AF1125">
        <v>3</v>
      </c>
      <c r="AG1125" t="s">
        <v>9269</v>
      </c>
      <c r="AH1125" t="s">
        <v>4280</v>
      </c>
      <c r="AI1125">
        <v>0</v>
      </c>
      <c r="AJ1125">
        <v>1</v>
      </c>
      <c r="AK1125">
        <v>2</v>
      </c>
      <c r="AL1125">
        <v>100.1</v>
      </c>
      <c r="AP1125">
        <v>20800</v>
      </c>
      <c r="AV1125">
        <v>0.5</v>
      </c>
      <c r="AW1125" t="s">
        <v>74</v>
      </c>
    </row>
    <row r="1126" spans="1:49">
      <c r="A1126" s="1">
        <f>HYPERLINK("https://cms.ls-nyc.org/matter/dynamic-profile/view/1893231","19-1893231")</f>
        <v>0</v>
      </c>
      <c r="B1126" t="s">
        <v>74</v>
      </c>
      <c r="C1126" t="s">
        <v>82</v>
      </c>
      <c r="D1126" t="s">
        <v>157</v>
      </c>
      <c r="E1126" t="s">
        <v>157</v>
      </c>
      <c r="F1126" t="s">
        <v>810</v>
      </c>
      <c r="G1126" t="s">
        <v>2198</v>
      </c>
      <c r="H1126" t="s">
        <v>3455</v>
      </c>
      <c r="I1126" t="s">
        <v>4004</v>
      </c>
      <c r="J1126" t="s">
        <v>4229</v>
      </c>
      <c r="K1126">
        <v>11367</v>
      </c>
      <c r="L1126" t="s">
        <v>4275</v>
      </c>
      <c r="M1126" t="s">
        <v>4277</v>
      </c>
      <c r="O1126" t="s">
        <v>4282</v>
      </c>
      <c r="P1126" t="s">
        <v>5287</v>
      </c>
      <c r="Q1126" t="s">
        <v>5733</v>
      </c>
      <c r="R1126" t="s">
        <v>5753</v>
      </c>
      <c r="S1126" t="s">
        <v>5759</v>
      </c>
      <c r="V1126" t="s">
        <v>5767</v>
      </c>
      <c r="X1126" t="s">
        <v>114</v>
      </c>
      <c r="Y1126">
        <v>336</v>
      </c>
      <c r="Z1126" t="s">
        <v>5803</v>
      </c>
      <c r="AA1126" t="s">
        <v>5804</v>
      </c>
      <c r="AB1126" t="s">
        <v>5821</v>
      </c>
      <c r="AC1126" t="s">
        <v>6858</v>
      </c>
      <c r="AE1126" t="s">
        <v>8841</v>
      </c>
      <c r="AF1126">
        <v>28</v>
      </c>
      <c r="AG1126" t="s">
        <v>9271</v>
      </c>
      <c r="AH1126" t="s">
        <v>4280</v>
      </c>
      <c r="AI1126">
        <v>13</v>
      </c>
      <c r="AJ1126">
        <v>1</v>
      </c>
      <c r="AK1126">
        <v>0</v>
      </c>
      <c r="AL1126">
        <v>101.84</v>
      </c>
      <c r="AP1126">
        <v>12720</v>
      </c>
      <c r="AV1126">
        <v>2</v>
      </c>
      <c r="AW1126" t="s">
        <v>74</v>
      </c>
    </row>
    <row r="1127" spans="1:49">
      <c r="A1127" s="1">
        <f>HYPERLINK("https://cms.ls-nyc.org/matter/dynamic-profile/view/1891615","19-1891615")</f>
        <v>0</v>
      </c>
      <c r="B1127" t="s">
        <v>74</v>
      </c>
      <c r="C1127" t="s">
        <v>82</v>
      </c>
      <c r="D1127" t="s">
        <v>233</v>
      </c>
      <c r="E1127" t="s">
        <v>96</v>
      </c>
      <c r="F1127" t="s">
        <v>531</v>
      </c>
      <c r="G1127" t="s">
        <v>2199</v>
      </c>
      <c r="H1127" t="s">
        <v>3456</v>
      </c>
      <c r="I1127" t="s">
        <v>3867</v>
      </c>
      <c r="J1127" t="s">
        <v>4239</v>
      </c>
      <c r="K1127">
        <v>11420</v>
      </c>
      <c r="L1127" t="s">
        <v>4275</v>
      </c>
      <c r="M1127" t="s">
        <v>4275</v>
      </c>
      <c r="O1127" t="s">
        <v>4282</v>
      </c>
      <c r="P1127" t="s">
        <v>5288</v>
      </c>
      <c r="Q1127" t="s">
        <v>5733</v>
      </c>
      <c r="R1127" t="s">
        <v>5753</v>
      </c>
      <c r="S1127" t="s">
        <v>5759</v>
      </c>
      <c r="V1127" t="s">
        <v>5770</v>
      </c>
      <c r="W1127" t="s">
        <v>5772</v>
      </c>
      <c r="X1127" t="s">
        <v>233</v>
      </c>
      <c r="Y1127">
        <v>1400</v>
      </c>
      <c r="Z1127" t="s">
        <v>5803</v>
      </c>
      <c r="AA1127" t="s">
        <v>5804</v>
      </c>
      <c r="AB1127" t="s">
        <v>5821</v>
      </c>
      <c r="AC1127" t="s">
        <v>6859</v>
      </c>
      <c r="AE1127" t="s">
        <v>8842</v>
      </c>
      <c r="AF1127">
        <v>2</v>
      </c>
      <c r="AG1127" t="s">
        <v>9269</v>
      </c>
      <c r="AH1127" t="s">
        <v>4280</v>
      </c>
      <c r="AI1127">
        <v>9</v>
      </c>
      <c r="AJ1127">
        <v>2</v>
      </c>
      <c r="AK1127">
        <v>0</v>
      </c>
      <c r="AL1127">
        <v>104.08</v>
      </c>
      <c r="AO1127" t="s">
        <v>9298</v>
      </c>
      <c r="AP1127">
        <v>17600</v>
      </c>
      <c r="AV1127">
        <v>1</v>
      </c>
      <c r="AW1127" t="s">
        <v>74</v>
      </c>
    </row>
    <row r="1128" spans="1:49">
      <c r="A1128" s="1">
        <f>HYPERLINK("https://cms.ls-nyc.org/matter/dynamic-profile/view/1881326","18-1881326")</f>
        <v>0</v>
      </c>
      <c r="B1128" t="s">
        <v>74</v>
      </c>
      <c r="C1128" t="s">
        <v>82</v>
      </c>
      <c r="D1128" t="s">
        <v>150</v>
      </c>
      <c r="E1128" t="s">
        <v>159</v>
      </c>
      <c r="F1128" t="s">
        <v>413</v>
      </c>
      <c r="G1128" t="s">
        <v>1480</v>
      </c>
      <c r="H1128" t="s">
        <v>3457</v>
      </c>
      <c r="I1128" t="s">
        <v>4012</v>
      </c>
      <c r="J1128" t="s">
        <v>4235</v>
      </c>
      <c r="K1128">
        <v>11421</v>
      </c>
      <c r="L1128" t="s">
        <v>4275</v>
      </c>
      <c r="M1128" t="s">
        <v>4275</v>
      </c>
      <c r="O1128" t="s">
        <v>4282</v>
      </c>
      <c r="P1128" t="s">
        <v>5289</v>
      </c>
      <c r="Q1128" t="s">
        <v>5732</v>
      </c>
      <c r="R1128" t="s">
        <v>5753</v>
      </c>
      <c r="S1128" t="s">
        <v>5759</v>
      </c>
      <c r="T1128" t="s">
        <v>4276</v>
      </c>
      <c r="V1128" t="s">
        <v>5767</v>
      </c>
      <c r="Y1128">
        <v>1700</v>
      </c>
      <c r="Z1128" t="s">
        <v>5803</v>
      </c>
      <c r="AA1128" t="s">
        <v>5804</v>
      </c>
      <c r="AB1128" t="s">
        <v>5821</v>
      </c>
      <c r="AC1128" t="s">
        <v>6860</v>
      </c>
      <c r="AE1128" t="s">
        <v>8843</v>
      </c>
      <c r="AF1128">
        <v>4</v>
      </c>
      <c r="AG1128" t="s">
        <v>9269</v>
      </c>
      <c r="AH1128" t="s">
        <v>4280</v>
      </c>
      <c r="AI1128">
        <v>3</v>
      </c>
      <c r="AJ1128">
        <v>3</v>
      </c>
      <c r="AK1128">
        <v>1</v>
      </c>
      <c r="AL1128">
        <v>105.18</v>
      </c>
      <c r="AO1128" t="s">
        <v>9298</v>
      </c>
      <c r="AP1128">
        <v>26400</v>
      </c>
      <c r="AV1128">
        <v>1</v>
      </c>
      <c r="AW1128" t="s">
        <v>74</v>
      </c>
    </row>
    <row r="1129" spans="1:49">
      <c r="A1129" s="1">
        <f>HYPERLINK("https://cms.ls-nyc.org/matter/dynamic-profile/view/1897684","19-1897684")</f>
        <v>0</v>
      </c>
      <c r="B1129" t="s">
        <v>74</v>
      </c>
      <c r="C1129" t="s">
        <v>83</v>
      </c>
      <c r="D1129" t="s">
        <v>155</v>
      </c>
      <c r="F1129" t="s">
        <v>1121</v>
      </c>
      <c r="G1129" t="s">
        <v>1680</v>
      </c>
      <c r="H1129" t="s">
        <v>3458</v>
      </c>
      <c r="I1129" t="s">
        <v>3858</v>
      </c>
      <c r="J1129" t="s">
        <v>4225</v>
      </c>
      <c r="K1129">
        <v>11385</v>
      </c>
      <c r="L1129" t="s">
        <v>4277</v>
      </c>
      <c r="M1129" t="s">
        <v>4277</v>
      </c>
      <c r="O1129" t="s">
        <v>4282</v>
      </c>
      <c r="P1129" t="s">
        <v>5290</v>
      </c>
      <c r="Q1129" t="s">
        <v>5732</v>
      </c>
      <c r="V1129" t="s">
        <v>5767</v>
      </c>
      <c r="Y1129">
        <v>1100</v>
      </c>
      <c r="Z1129" t="s">
        <v>5803</v>
      </c>
      <c r="AC1129" t="s">
        <v>6861</v>
      </c>
      <c r="AE1129" t="s">
        <v>8844</v>
      </c>
      <c r="AF1129">
        <v>6</v>
      </c>
      <c r="AI1129">
        <v>10</v>
      </c>
      <c r="AJ1129">
        <v>1</v>
      </c>
      <c r="AK1129">
        <v>1</v>
      </c>
      <c r="AL1129">
        <v>107.63</v>
      </c>
      <c r="AP1129">
        <v>18200.04</v>
      </c>
      <c r="AV1129">
        <v>14.55</v>
      </c>
      <c r="AW1129" t="s">
        <v>74</v>
      </c>
    </row>
    <row r="1130" spans="1:49">
      <c r="A1130" s="1">
        <f>HYPERLINK("https://cms.ls-nyc.org/matter/dynamic-profile/view/1880328","18-1880328")</f>
        <v>0</v>
      </c>
      <c r="B1130" t="s">
        <v>74</v>
      </c>
      <c r="C1130" t="s">
        <v>82</v>
      </c>
      <c r="D1130" t="s">
        <v>225</v>
      </c>
      <c r="E1130" t="s">
        <v>225</v>
      </c>
      <c r="F1130" t="s">
        <v>400</v>
      </c>
      <c r="G1130" t="s">
        <v>2200</v>
      </c>
      <c r="H1130" t="s">
        <v>3459</v>
      </c>
      <c r="I1130">
        <v>2</v>
      </c>
      <c r="J1130" t="s">
        <v>4258</v>
      </c>
      <c r="K1130">
        <v>11369</v>
      </c>
      <c r="L1130" t="s">
        <v>4275</v>
      </c>
      <c r="M1130" t="s">
        <v>4275</v>
      </c>
      <c r="O1130" t="s">
        <v>4282</v>
      </c>
      <c r="P1130" t="s">
        <v>5291</v>
      </c>
      <c r="Q1130" t="s">
        <v>5731</v>
      </c>
      <c r="R1130" t="s">
        <v>5753</v>
      </c>
      <c r="S1130" t="s">
        <v>5759</v>
      </c>
      <c r="T1130" t="s">
        <v>5765</v>
      </c>
      <c r="V1130" t="s">
        <v>5767</v>
      </c>
      <c r="X1130" t="s">
        <v>225</v>
      </c>
      <c r="Y1130">
        <v>1900</v>
      </c>
      <c r="Z1130" t="s">
        <v>5803</v>
      </c>
      <c r="AA1130" t="s">
        <v>5804</v>
      </c>
      <c r="AB1130" t="s">
        <v>5821</v>
      </c>
      <c r="AC1130" t="s">
        <v>6862</v>
      </c>
      <c r="AE1130" t="s">
        <v>8845</v>
      </c>
      <c r="AF1130">
        <v>2</v>
      </c>
      <c r="AH1130" t="s">
        <v>4280</v>
      </c>
      <c r="AI1130">
        <v>12</v>
      </c>
      <c r="AJ1130">
        <v>3</v>
      </c>
      <c r="AK1130">
        <v>2</v>
      </c>
      <c r="AL1130">
        <v>107.76</v>
      </c>
      <c r="AO1130" t="s">
        <v>1425</v>
      </c>
      <c r="AP1130">
        <v>31704</v>
      </c>
      <c r="AV1130">
        <v>1</v>
      </c>
      <c r="AW1130" t="s">
        <v>74</v>
      </c>
    </row>
    <row r="1131" spans="1:49">
      <c r="A1131" s="1">
        <f>HYPERLINK("https://cms.ls-nyc.org/matter/dynamic-profile/view/1888600","19-1888600")</f>
        <v>0</v>
      </c>
      <c r="B1131" t="s">
        <v>74</v>
      </c>
      <c r="C1131" t="s">
        <v>83</v>
      </c>
      <c r="D1131" t="s">
        <v>125</v>
      </c>
      <c r="F1131" t="s">
        <v>1122</v>
      </c>
      <c r="G1131" t="s">
        <v>2201</v>
      </c>
      <c r="H1131" t="s">
        <v>3460</v>
      </c>
      <c r="I1131">
        <v>2</v>
      </c>
      <c r="J1131" t="s">
        <v>4250</v>
      </c>
      <c r="K1131">
        <v>11412</v>
      </c>
      <c r="L1131" t="s">
        <v>4275</v>
      </c>
      <c r="M1131" t="s">
        <v>4275</v>
      </c>
      <c r="O1131" t="s">
        <v>4282</v>
      </c>
      <c r="P1131" t="s">
        <v>5292</v>
      </c>
      <c r="Q1131" t="s">
        <v>5732</v>
      </c>
      <c r="R1131" t="s">
        <v>5751</v>
      </c>
      <c r="T1131" t="s">
        <v>4276</v>
      </c>
      <c r="V1131" t="s">
        <v>5767</v>
      </c>
      <c r="W1131" t="s">
        <v>5772</v>
      </c>
      <c r="X1131" t="s">
        <v>125</v>
      </c>
      <c r="Y1131">
        <v>253</v>
      </c>
      <c r="Z1131" t="s">
        <v>5803</v>
      </c>
      <c r="AA1131" t="s">
        <v>5804</v>
      </c>
      <c r="AC1131" t="s">
        <v>6863</v>
      </c>
      <c r="AD1131" t="s">
        <v>7697</v>
      </c>
      <c r="AE1131" t="s">
        <v>8846</v>
      </c>
      <c r="AF1131">
        <v>2</v>
      </c>
      <c r="AG1131" t="s">
        <v>9269</v>
      </c>
      <c r="AH1131" t="s">
        <v>9282</v>
      </c>
      <c r="AI1131">
        <v>5</v>
      </c>
      <c r="AJ1131">
        <v>1</v>
      </c>
      <c r="AK1131">
        <v>2</v>
      </c>
      <c r="AL1131">
        <v>109.67</v>
      </c>
      <c r="AO1131" t="s">
        <v>1425</v>
      </c>
      <c r="AP1131">
        <v>23392</v>
      </c>
      <c r="AR1131" t="s">
        <v>9329</v>
      </c>
      <c r="AS1131" t="s">
        <v>5806</v>
      </c>
      <c r="AT1131" t="s">
        <v>9370</v>
      </c>
      <c r="AU1131" t="s">
        <v>9528</v>
      </c>
      <c r="AV1131">
        <v>12.6</v>
      </c>
      <c r="AW1131" t="s">
        <v>73</v>
      </c>
    </row>
    <row r="1132" spans="1:49">
      <c r="A1132" s="1">
        <f>HYPERLINK("https://cms.ls-nyc.org/matter/dynamic-profile/view/1882308","18-1882308")</f>
        <v>0</v>
      </c>
      <c r="B1132" t="s">
        <v>74</v>
      </c>
      <c r="C1132" t="s">
        <v>82</v>
      </c>
      <c r="D1132" t="s">
        <v>268</v>
      </c>
      <c r="E1132" t="s">
        <v>138</v>
      </c>
      <c r="F1132" t="s">
        <v>1121</v>
      </c>
      <c r="G1132" t="s">
        <v>1680</v>
      </c>
      <c r="H1132" t="s">
        <v>3458</v>
      </c>
      <c r="I1132" t="s">
        <v>3858</v>
      </c>
      <c r="J1132" t="s">
        <v>4225</v>
      </c>
      <c r="K1132">
        <v>11385</v>
      </c>
      <c r="L1132" t="s">
        <v>4275</v>
      </c>
      <c r="M1132" t="s">
        <v>4275</v>
      </c>
      <c r="O1132" t="s">
        <v>4282</v>
      </c>
      <c r="P1132" t="s">
        <v>5293</v>
      </c>
      <c r="Q1132" t="s">
        <v>5733</v>
      </c>
      <c r="R1132" t="s">
        <v>5753</v>
      </c>
      <c r="S1132" t="s">
        <v>5759</v>
      </c>
      <c r="T1132" t="s">
        <v>4276</v>
      </c>
      <c r="V1132" t="s">
        <v>5767</v>
      </c>
      <c r="W1132" t="s">
        <v>5772</v>
      </c>
      <c r="X1132" t="s">
        <v>268</v>
      </c>
      <c r="Y1132">
        <v>1100</v>
      </c>
      <c r="Z1132" t="s">
        <v>5803</v>
      </c>
      <c r="AA1132" t="s">
        <v>5804</v>
      </c>
      <c r="AB1132" t="s">
        <v>5821</v>
      </c>
      <c r="AC1132" t="s">
        <v>6861</v>
      </c>
      <c r="AE1132" t="s">
        <v>8844</v>
      </c>
      <c r="AF1132">
        <v>6</v>
      </c>
      <c r="AG1132" t="s">
        <v>9272</v>
      </c>
      <c r="AH1132" t="s">
        <v>4280</v>
      </c>
      <c r="AI1132">
        <v>10</v>
      </c>
      <c r="AJ1132">
        <v>1</v>
      </c>
      <c r="AK1132">
        <v>1</v>
      </c>
      <c r="AL1132">
        <v>110.57</v>
      </c>
      <c r="AP1132">
        <v>18200</v>
      </c>
      <c r="AV1132">
        <v>5.15</v>
      </c>
      <c r="AW1132" t="s">
        <v>74</v>
      </c>
    </row>
    <row r="1133" spans="1:49">
      <c r="A1133" s="1">
        <f>HYPERLINK("https://cms.ls-nyc.org/matter/dynamic-profile/view/1881261","18-1881261")</f>
        <v>0</v>
      </c>
      <c r="B1133" t="s">
        <v>74</v>
      </c>
      <c r="C1133" t="s">
        <v>82</v>
      </c>
      <c r="D1133" t="s">
        <v>140</v>
      </c>
      <c r="E1133" t="s">
        <v>265</v>
      </c>
      <c r="F1133" t="s">
        <v>1123</v>
      </c>
      <c r="G1133" t="s">
        <v>1947</v>
      </c>
      <c r="H1133" t="s">
        <v>3461</v>
      </c>
      <c r="I1133" t="s">
        <v>3870</v>
      </c>
      <c r="J1133" t="s">
        <v>4258</v>
      </c>
      <c r="K1133">
        <v>11369</v>
      </c>
      <c r="L1133" t="s">
        <v>4275</v>
      </c>
      <c r="M1133" t="s">
        <v>4275</v>
      </c>
      <c r="O1133" t="s">
        <v>4282</v>
      </c>
      <c r="P1133" t="s">
        <v>5294</v>
      </c>
      <c r="Q1133" t="s">
        <v>5731</v>
      </c>
      <c r="R1133" t="s">
        <v>5753</v>
      </c>
      <c r="S1133" t="s">
        <v>5759</v>
      </c>
      <c r="T1133" t="s">
        <v>4276</v>
      </c>
      <c r="V1133" t="s">
        <v>5767</v>
      </c>
      <c r="W1133" t="s">
        <v>5772</v>
      </c>
      <c r="X1133" t="s">
        <v>274</v>
      </c>
      <c r="Y1133">
        <v>800</v>
      </c>
      <c r="Z1133" t="s">
        <v>5803</v>
      </c>
      <c r="AA1133" t="s">
        <v>5804</v>
      </c>
      <c r="AB1133" t="s">
        <v>5821</v>
      </c>
      <c r="AC1133" t="s">
        <v>6864</v>
      </c>
      <c r="AD1133" t="s">
        <v>4700</v>
      </c>
      <c r="AF1133">
        <v>4</v>
      </c>
      <c r="AG1133" t="s">
        <v>9272</v>
      </c>
      <c r="AH1133" t="s">
        <v>4280</v>
      </c>
      <c r="AI1133">
        <v>20</v>
      </c>
      <c r="AJ1133">
        <v>1</v>
      </c>
      <c r="AK1133">
        <v>1</v>
      </c>
      <c r="AL1133">
        <v>110.57</v>
      </c>
      <c r="AO1133" t="s">
        <v>9298</v>
      </c>
      <c r="AP1133">
        <v>18200</v>
      </c>
      <c r="AV1133">
        <v>1.15</v>
      </c>
      <c r="AW1133" t="s">
        <v>74</v>
      </c>
    </row>
    <row r="1134" spans="1:49">
      <c r="A1134" s="1">
        <f>HYPERLINK("https://cms.ls-nyc.org/matter/dynamic-profile/view/1881611","18-1881611")</f>
        <v>0</v>
      </c>
      <c r="B1134" t="s">
        <v>74</v>
      </c>
      <c r="C1134" t="s">
        <v>82</v>
      </c>
      <c r="D1134" t="s">
        <v>274</v>
      </c>
      <c r="E1134" t="s">
        <v>274</v>
      </c>
      <c r="F1134" t="s">
        <v>554</v>
      </c>
      <c r="G1134" t="s">
        <v>2202</v>
      </c>
      <c r="H1134" t="s">
        <v>3462</v>
      </c>
      <c r="I1134" t="s">
        <v>4136</v>
      </c>
      <c r="J1134" t="s">
        <v>4222</v>
      </c>
      <c r="K1134">
        <v>11434</v>
      </c>
      <c r="L1134" t="s">
        <v>4275</v>
      </c>
      <c r="M1134" t="s">
        <v>4275</v>
      </c>
      <c r="O1134" t="s">
        <v>4282</v>
      </c>
      <c r="P1134" t="s">
        <v>5295</v>
      </c>
      <c r="Q1134" t="s">
        <v>5733</v>
      </c>
      <c r="R1134" t="s">
        <v>5753</v>
      </c>
      <c r="S1134" t="s">
        <v>5759</v>
      </c>
      <c r="T1134" t="s">
        <v>4275</v>
      </c>
      <c r="V1134" t="s">
        <v>5767</v>
      </c>
      <c r="X1134" t="s">
        <v>274</v>
      </c>
      <c r="Y1134">
        <v>154</v>
      </c>
      <c r="Z1134" t="s">
        <v>5803</v>
      </c>
      <c r="AA1134" t="s">
        <v>5804</v>
      </c>
      <c r="AB1134" t="s">
        <v>5821</v>
      </c>
      <c r="AC1134" t="s">
        <v>6865</v>
      </c>
      <c r="AD1134" t="s">
        <v>7698</v>
      </c>
      <c r="AE1134" t="s">
        <v>8847</v>
      </c>
      <c r="AF1134">
        <v>1</v>
      </c>
      <c r="AG1134" t="s">
        <v>9271</v>
      </c>
      <c r="AH1134" t="s">
        <v>4280</v>
      </c>
      <c r="AI1134">
        <v>46</v>
      </c>
      <c r="AJ1134">
        <v>1</v>
      </c>
      <c r="AK1134">
        <v>0</v>
      </c>
      <c r="AL1134">
        <v>111.37</v>
      </c>
      <c r="AO1134" t="s">
        <v>1425</v>
      </c>
      <c r="AP1134">
        <v>13520</v>
      </c>
      <c r="AV1134">
        <v>0.75</v>
      </c>
      <c r="AW1134" t="s">
        <v>74</v>
      </c>
    </row>
    <row r="1135" spans="1:49">
      <c r="A1135" s="1">
        <f>HYPERLINK("https://cms.ls-nyc.org/matter/dynamic-profile/view/1898967","19-1898967")</f>
        <v>0</v>
      </c>
      <c r="B1135" t="s">
        <v>74</v>
      </c>
      <c r="C1135" t="s">
        <v>82</v>
      </c>
      <c r="D1135" t="s">
        <v>275</v>
      </c>
      <c r="E1135" t="s">
        <v>95</v>
      </c>
      <c r="F1135" t="s">
        <v>321</v>
      </c>
      <c r="G1135" t="s">
        <v>2203</v>
      </c>
      <c r="H1135" t="s">
        <v>3463</v>
      </c>
      <c r="I1135" t="s">
        <v>3866</v>
      </c>
      <c r="J1135" t="s">
        <v>4222</v>
      </c>
      <c r="K1135">
        <v>11434</v>
      </c>
      <c r="L1135" t="s">
        <v>4275</v>
      </c>
      <c r="M1135" t="s">
        <v>4277</v>
      </c>
      <c r="N1135" t="s">
        <v>4278</v>
      </c>
      <c r="O1135" t="s">
        <v>4283</v>
      </c>
      <c r="P1135" t="s">
        <v>5296</v>
      </c>
      <c r="Q1135" t="s">
        <v>5733</v>
      </c>
      <c r="R1135" t="s">
        <v>5753</v>
      </c>
      <c r="S1135" t="s">
        <v>5759</v>
      </c>
      <c r="T1135" t="s">
        <v>4276</v>
      </c>
      <c r="V1135" t="s">
        <v>5767</v>
      </c>
      <c r="W1135" t="s">
        <v>5772</v>
      </c>
      <c r="X1135" t="s">
        <v>275</v>
      </c>
      <c r="Y1135">
        <v>2175</v>
      </c>
      <c r="Z1135" t="s">
        <v>5803</v>
      </c>
      <c r="AA1135" t="s">
        <v>5804</v>
      </c>
      <c r="AB1135" t="s">
        <v>5821</v>
      </c>
      <c r="AC1135" t="s">
        <v>6866</v>
      </c>
      <c r="AD1135" t="s">
        <v>7699</v>
      </c>
      <c r="AE1135" t="s">
        <v>8848</v>
      </c>
      <c r="AF1135">
        <v>2</v>
      </c>
      <c r="AG1135" t="s">
        <v>9269</v>
      </c>
      <c r="AH1135" t="s">
        <v>4280</v>
      </c>
      <c r="AI1135">
        <v>2</v>
      </c>
      <c r="AJ1135">
        <v>3</v>
      </c>
      <c r="AK1135">
        <v>0</v>
      </c>
      <c r="AL1135">
        <v>112.52</v>
      </c>
      <c r="AP1135">
        <v>24000</v>
      </c>
      <c r="AV1135">
        <v>0.5</v>
      </c>
      <c r="AW1135" t="s">
        <v>74</v>
      </c>
    </row>
    <row r="1136" spans="1:49">
      <c r="A1136" s="1">
        <f>HYPERLINK("https://cms.ls-nyc.org/matter/dynamic-profile/view/1900879","19-1900879")</f>
        <v>0</v>
      </c>
      <c r="B1136" t="s">
        <v>74</v>
      </c>
      <c r="C1136" t="s">
        <v>82</v>
      </c>
      <c r="D1136" t="s">
        <v>166</v>
      </c>
      <c r="E1136" t="s">
        <v>310</v>
      </c>
      <c r="F1136" t="s">
        <v>613</v>
      </c>
      <c r="G1136" t="s">
        <v>2204</v>
      </c>
      <c r="H1136" t="s">
        <v>2734</v>
      </c>
      <c r="I1136" t="s">
        <v>4137</v>
      </c>
      <c r="J1136" t="s">
        <v>4222</v>
      </c>
      <c r="K1136">
        <v>11434</v>
      </c>
      <c r="L1136" t="s">
        <v>4275</v>
      </c>
      <c r="M1136" t="s">
        <v>4277</v>
      </c>
      <c r="O1136" t="s">
        <v>4283</v>
      </c>
      <c r="P1136" t="s">
        <v>5297</v>
      </c>
      <c r="Q1136" t="s">
        <v>5733</v>
      </c>
      <c r="R1136" t="s">
        <v>5754</v>
      </c>
      <c r="S1136" t="s">
        <v>5759</v>
      </c>
      <c r="V1136" t="s">
        <v>5767</v>
      </c>
      <c r="X1136" t="s">
        <v>166</v>
      </c>
      <c r="Y1136">
        <v>800</v>
      </c>
      <c r="Z1136" t="s">
        <v>5803</v>
      </c>
      <c r="AA1136" t="s">
        <v>5804</v>
      </c>
      <c r="AB1136" t="s">
        <v>5821</v>
      </c>
      <c r="AC1136" t="s">
        <v>6867</v>
      </c>
      <c r="AE1136" t="s">
        <v>8849</v>
      </c>
      <c r="AF1136">
        <v>40</v>
      </c>
      <c r="AG1136" t="s">
        <v>9272</v>
      </c>
      <c r="AH1136" t="s">
        <v>5806</v>
      </c>
      <c r="AI1136">
        <v>10</v>
      </c>
      <c r="AJ1136">
        <v>3</v>
      </c>
      <c r="AK1136">
        <v>1</v>
      </c>
      <c r="AL1136">
        <v>112.62</v>
      </c>
      <c r="AO1136" t="s">
        <v>1425</v>
      </c>
      <c r="AP1136">
        <v>29000</v>
      </c>
      <c r="AV1136">
        <v>1</v>
      </c>
      <c r="AW1136" t="s">
        <v>74</v>
      </c>
    </row>
    <row r="1137" spans="1:49">
      <c r="A1137" s="1">
        <f>HYPERLINK("https://cms.ls-nyc.org/matter/dynamic-profile/view/1899195","19-1899195")</f>
        <v>0</v>
      </c>
      <c r="B1137" t="s">
        <v>74</v>
      </c>
      <c r="C1137" t="s">
        <v>82</v>
      </c>
      <c r="D1137" t="s">
        <v>161</v>
      </c>
      <c r="E1137" t="s">
        <v>161</v>
      </c>
      <c r="F1137" t="s">
        <v>1124</v>
      </c>
      <c r="G1137" t="s">
        <v>2191</v>
      </c>
      <c r="H1137" t="s">
        <v>3464</v>
      </c>
      <c r="I1137" t="s">
        <v>4138</v>
      </c>
      <c r="J1137" t="s">
        <v>4229</v>
      </c>
      <c r="K1137">
        <v>11367</v>
      </c>
      <c r="L1137" t="s">
        <v>4275</v>
      </c>
      <c r="M1137" t="s">
        <v>4277</v>
      </c>
      <c r="N1137" t="s">
        <v>4278</v>
      </c>
      <c r="O1137" t="s">
        <v>4283</v>
      </c>
      <c r="P1137" t="s">
        <v>5298</v>
      </c>
      <c r="Q1137" t="s">
        <v>5733</v>
      </c>
      <c r="R1137" t="s">
        <v>5753</v>
      </c>
      <c r="S1137" t="s">
        <v>5759</v>
      </c>
      <c r="V1137" t="s">
        <v>5767</v>
      </c>
      <c r="W1137" t="s">
        <v>5772</v>
      </c>
      <c r="X1137" t="s">
        <v>161</v>
      </c>
      <c r="Y1137">
        <v>362</v>
      </c>
      <c r="Z1137" t="s">
        <v>5803</v>
      </c>
      <c r="AA1137" t="s">
        <v>5804</v>
      </c>
      <c r="AB1137" t="s">
        <v>5821</v>
      </c>
      <c r="AC1137" t="s">
        <v>6868</v>
      </c>
      <c r="AD1137" t="s">
        <v>7700</v>
      </c>
      <c r="AE1137" t="s">
        <v>8850</v>
      </c>
      <c r="AF1137">
        <v>28</v>
      </c>
      <c r="AG1137" t="s">
        <v>9271</v>
      </c>
      <c r="AH1137" t="s">
        <v>4280</v>
      </c>
      <c r="AI1137">
        <v>30</v>
      </c>
      <c r="AJ1137">
        <v>1</v>
      </c>
      <c r="AK1137">
        <v>0</v>
      </c>
      <c r="AL1137">
        <v>115.08</v>
      </c>
      <c r="AO1137" t="s">
        <v>1425</v>
      </c>
      <c r="AP1137">
        <v>14373</v>
      </c>
      <c r="AV1137">
        <v>1</v>
      </c>
      <c r="AW1137" t="s">
        <v>74</v>
      </c>
    </row>
    <row r="1138" spans="1:49">
      <c r="A1138" s="1">
        <f>HYPERLINK("https://cms.ls-nyc.org/matter/dynamic-profile/view/1894787","19-1894787")</f>
        <v>0</v>
      </c>
      <c r="B1138" t="s">
        <v>74</v>
      </c>
      <c r="C1138" t="s">
        <v>82</v>
      </c>
      <c r="D1138" t="s">
        <v>271</v>
      </c>
      <c r="E1138" t="s">
        <v>238</v>
      </c>
      <c r="F1138" t="s">
        <v>1083</v>
      </c>
      <c r="G1138" t="s">
        <v>1387</v>
      </c>
      <c r="H1138" t="s">
        <v>3465</v>
      </c>
      <c r="I1138">
        <v>2</v>
      </c>
      <c r="J1138" t="s">
        <v>4222</v>
      </c>
      <c r="K1138">
        <v>11433</v>
      </c>
      <c r="L1138" t="s">
        <v>4275</v>
      </c>
      <c r="M1138" t="s">
        <v>4275</v>
      </c>
      <c r="O1138" t="s">
        <v>4282</v>
      </c>
      <c r="P1138" t="s">
        <v>5299</v>
      </c>
      <c r="Q1138" t="s">
        <v>5733</v>
      </c>
      <c r="R1138" t="s">
        <v>5753</v>
      </c>
      <c r="S1138" t="s">
        <v>5759</v>
      </c>
      <c r="T1138" t="s">
        <v>4276</v>
      </c>
      <c r="V1138" t="s">
        <v>5767</v>
      </c>
      <c r="W1138" t="s">
        <v>5772</v>
      </c>
      <c r="Y1138">
        <v>1650</v>
      </c>
      <c r="Z1138" t="s">
        <v>5803</v>
      </c>
      <c r="AA1138" t="s">
        <v>5804</v>
      </c>
      <c r="AB1138" t="s">
        <v>5821</v>
      </c>
      <c r="AC1138" t="s">
        <v>6869</v>
      </c>
      <c r="AE1138" t="s">
        <v>8851</v>
      </c>
      <c r="AF1138">
        <v>2</v>
      </c>
      <c r="AG1138" t="s">
        <v>9269</v>
      </c>
      <c r="AH1138" t="s">
        <v>4280</v>
      </c>
      <c r="AI1138">
        <v>1</v>
      </c>
      <c r="AJ1138">
        <v>2</v>
      </c>
      <c r="AK1138">
        <v>2</v>
      </c>
      <c r="AL1138">
        <v>119.3</v>
      </c>
      <c r="AP1138">
        <v>30720</v>
      </c>
      <c r="AV1138">
        <v>3.5</v>
      </c>
      <c r="AW1138" t="s">
        <v>74</v>
      </c>
    </row>
    <row r="1139" spans="1:49">
      <c r="A1139" s="1">
        <f>HYPERLINK("https://cms.ls-nyc.org/matter/dynamic-profile/view/1894038","19-1894038")</f>
        <v>0</v>
      </c>
      <c r="B1139" t="s">
        <v>74</v>
      </c>
      <c r="C1139" t="s">
        <v>82</v>
      </c>
      <c r="D1139" t="s">
        <v>210</v>
      </c>
      <c r="E1139" t="s">
        <v>238</v>
      </c>
      <c r="F1139" t="s">
        <v>1125</v>
      </c>
      <c r="G1139" t="s">
        <v>1867</v>
      </c>
      <c r="H1139" t="s">
        <v>3466</v>
      </c>
      <c r="I1139" t="s">
        <v>4040</v>
      </c>
      <c r="J1139" t="s">
        <v>4269</v>
      </c>
      <c r="K1139">
        <v>11101</v>
      </c>
      <c r="L1139" t="s">
        <v>4275</v>
      </c>
      <c r="M1139" t="s">
        <v>4275</v>
      </c>
      <c r="O1139" t="s">
        <v>4282</v>
      </c>
      <c r="P1139" t="s">
        <v>5300</v>
      </c>
      <c r="Q1139" t="s">
        <v>5733</v>
      </c>
      <c r="R1139" t="s">
        <v>5753</v>
      </c>
      <c r="S1139" t="s">
        <v>5759</v>
      </c>
      <c r="T1139" t="s">
        <v>4276</v>
      </c>
      <c r="V1139" t="s">
        <v>5770</v>
      </c>
      <c r="W1139" t="s">
        <v>5772</v>
      </c>
      <c r="X1139" t="s">
        <v>210</v>
      </c>
      <c r="Y1139">
        <v>700</v>
      </c>
      <c r="Z1139" t="s">
        <v>5803</v>
      </c>
      <c r="AA1139" t="s">
        <v>5804</v>
      </c>
      <c r="AB1139" t="s">
        <v>5821</v>
      </c>
      <c r="AC1139" t="s">
        <v>6870</v>
      </c>
      <c r="AE1139" t="s">
        <v>8852</v>
      </c>
      <c r="AF1139">
        <v>3</v>
      </c>
      <c r="AG1139" t="s">
        <v>9269</v>
      </c>
      <c r="AH1139" t="s">
        <v>4280</v>
      </c>
      <c r="AI1139">
        <v>1</v>
      </c>
      <c r="AJ1139">
        <v>1</v>
      </c>
      <c r="AK1139">
        <v>0</v>
      </c>
      <c r="AL1139">
        <v>120.38</v>
      </c>
      <c r="AO1139" t="s">
        <v>1425</v>
      </c>
      <c r="AP1139">
        <v>15036</v>
      </c>
      <c r="AV1139">
        <v>2</v>
      </c>
      <c r="AW1139" t="s">
        <v>74</v>
      </c>
    </row>
    <row r="1140" spans="1:49">
      <c r="A1140" s="1">
        <f>HYPERLINK("https://cms.ls-nyc.org/matter/dynamic-profile/view/1898090","19-1898090")</f>
        <v>0</v>
      </c>
      <c r="B1140" t="s">
        <v>74</v>
      </c>
      <c r="C1140" t="s">
        <v>82</v>
      </c>
      <c r="D1140" t="s">
        <v>208</v>
      </c>
      <c r="E1140" t="s">
        <v>141</v>
      </c>
      <c r="F1140" t="s">
        <v>1126</v>
      </c>
      <c r="G1140" t="s">
        <v>1450</v>
      </c>
      <c r="H1140" t="s">
        <v>3467</v>
      </c>
      <c r="I1140" t="s">
        <v>4139</v>
      </c>
      <c r="J1140" t="s">
        <v>4250</v>
      </c>
      <c r="K1140">
        <v>11412</v>
      </c>
      <c r="L1140" t="s">
        <v>4275</v>
      </c>
      <c r="M1140" t="s">
        <v>4275</v>
      </c>
      <c r="O1140" t="s">
        <v>4283</v>
      </c>
      <c r="P1140" t="s">
        <v>5301</v>
      </c>
      <c r="Q1140" t="s">
        <v>5733</v>
      </c>
      <c r="R1140" t="s">
        <v>5753</v>
      </c>
      <c r="S1140" t="s">
        <v>5759</v>
      </c>
      <c r="V1140" t="s">
        <v>5767</v>
      </c>
      <c r="X1140" t="s">
        <v>5799</v>
      </c>
      <c r="Y1140">
        <v>1350</v>
      </c>
      <c r="Z1140" t="s">
        <v>5803</v>
      </c>
      <c r="AA1140" t="s">
        <v>5804</v>
      </c>
      <c r="AB1140" t="s">
        <v>5821</v>
      </c>
      <c r="AC1140" t="s">
        <v>6871</v>
      </c>
      <c r="AE1140" t="s">
        <v>8853</v>
      </c>
      <c r="AF1140">
        <v>2</v>
      </c>
      <c r="AG1140" t="s">
        <v>9269</v>
      </c>
      <c r="AH1140" t="s">
        <v>4280</v>
      </c>
      <c r="AI1140">
        <v>1</v>
      </c>
      <c r="AJ1140">
        <v>2</v>
      </c>
      <c r="AK1140">
        <v>0</v>
      </c>
      <c r="AL1140">
        <v>121.75</v>
      </c>
      <c r="AO1140" t="s">
        <v>1425</v>
      </c>
      <c r="AP1140">
        <v>20588</v>
      </c>
      <c r="AV1140">
        <v>1</v>
      </c>
      <c r="AW1140" t="s">
        <v>74</v>
      </c>
    </row>
    <row r="1141" spans="1:49">
      <c r="A1141" s="1">
        <f>HYPERLINK("https://cms.ls-nyc.org/matter/dynamic-profile/view/1878617","18-1878617")</f>
        <v>0</v>
      </c>
      <c r="B1141" t="s">
        <v>74</v>
      </c>
      <c r="C1141" t="s">
        <v>82</v>
      </c>
      <c r="D1141" t="s">
        <v>147</v>
      </c>
      <c r="E1141" t="s">
        <v>282</v>
      </c>
      <c r="F1141" t="s">
        <v>1127</v>
      </c>
      <c r="G1141" t="s">
        <v>2205</v>
      </c>
      <c r="H1141" t="s">
        <v>3468</v>
      </c>
      <c r="I1141" t="s">
        <v>3867</v>
      </c>
      <c r="J1141" t="s">
        <v>4241</v>
      </c>
      <c r="K1141">
        <v>11368</v>
      </c>
      <c r="L1141" t="s">
        <v>4275</v>
      </c>
      <c r="M1141" t="s">
        <v>4275</v>
      </c>
      <c r="O1141" t="s">
        <v>4282</v>
      </c>
      <c r="P1141" t="s">
        <v>5302</v>
      </c>
      <c r="Q1141" t="s">
        <v>5733</v>
      </c>
      <c r="R1141" t="s">
        <v>5753</v>
      </c>
      <c r="S1141" t="s">
        <v>5759</v>
      </c>
      <c r="T1141" t="s">
        <v>4276</v>
      </c>
      <c r="V1141" t="s">
        <v>5767</v>
      </c>
      <c r="X1141" t="s">
        <v>147</v>
      </c>
      <c r="Y1141">
        <v>2800</v>
      </c>
      <c r="Z1141" t="s">
        <v>5803</v>
      </c>
      <c r="AA1141" t="s">
        <v>5804</v>
      </c>
      <c r="AB1141" t="s">
        <v>5821</v>
      </c>
      <c r="AC1141" t="s">
        <v>6872</v>
      </c>
      <c r="AD1141" t="s">
        <v>7701</v>
      </c>
      <c r="AE1141" t="s">
        <v>8854</v>
      </c>
      <c r="AF1141">
        <v>2</v>
      </c>
      <c r="AG1141" t="s">
        <v>9269</v>
      </c>
      <c r="AH1141" t="s">
        <v>4280</v>
      </c>
      <c r="AI1141">
        <v>16</v>
      </c>
      <c r="AJ1141">
        <v>2</v>
      </c>
      <c r="AK1141">
        <v>3</v>
      </c>
      <c r="AL1141">
        <v>123.73</v>
      </c>
      <c r="AO1141" t="s">
        <v>9298</v>
      </c>
      <c r="AP1141">
        <v>36400</v>
      </c>
      <c r="AV1141">
        <v>1.5</v>
      </c>
      <c r="AW1141" t="s">
        <v>74</v>
      </c>
    </row>
    <row r="1142" spans="1:49">
      <c r="A1142" s="1">
        <f>HYPERLINK("https://cms.ls-nyc.org/matter/dynamic-profile/view/1898629","19-1898629")</f>
        <v>0</v>
      </c>
      <c r="B1142" t="s">
        <v>74</v>
      </c>
      <c r="C1142" t="s">
        <v>82</v>
      </c>
      <c r="D1142" t="s">
        <v>141</v>
      </c>
      <c r="E1142" t="s">
        <v>93</v>
      </c>
      <c r="F1142" t="s">
        <v>1128</v>
      </c>
      <c r="G1142" t="s">
        <v>2206</v>
      </c>
      <c r="H1142" t="s">
        <v>3469</v>
      </c>
      <c r="I1142" t="s">
        <v>4102</v>
      </c>
      <c r="J1142" t="s">
        <v>4234</v>
      </c>
      <c r="K1142">
        <v>11105</v>
      </c>
      <c r="L1142" t="s">
        <v>4275</v>
      </c>
      <c r="M1142" t="s">
        <v>4275</v>
      </c>
      <c r="O1142" t="s">
        <v>4282</v>
      </c>
      <c r="P1142" t="s">
        <v>5303</v>
      </c>
      <c r="Q1142" t="s">
        <v>5732</v>
      </c>
      <c r="R1142" t="s">
        <v>5753</v>
      </c>
      <c r="S1142" t="s">
        <v>5759</v>
      </c>
      <c r="V1142" t="s">
        <v>5767</v>
      </c>
      <c r="X1142" t="s">
        <v>93</v>
      </c>
      <c r="Y1142">
        <v>1450</v>
      </c>
      <c r="Z1142" t="s">
        <v>5803</v>
      </c>
      <c r="AB1142" t="s">
        <v>5821</v>
      </c>
      <c r="AC1142" t="s">
        <v>6873</v>
      </c>
      <c r="AE1142" t="s">
        <v>8855</v>
      </c>
      <c r="AF1142">
        <v>24</v>
      </c>
      <c r="AH1142" t="s">
        <v>4280</v>
      </c>
      <c r="AI1142">
        <v>4</v>
      </c>
      <c r="AJ1142">
        <v>1</v>
      </c>
      <c r="AK1142">
        <v>0</v>
      </c>
      <c r="AL1142">
        <v>124.9</v>
      </c>
      <c r="AP1142">
        <v>15600</v>
      </c>
      <c r="AV1142">
        <v>1.5</v>
      </c>
      <c r="AW1142" t="s">
        <v>74</v>
      </c>
    </row>
    <row r="1143" spans="1:49">
      <c r="A1143" s="1">
        <f>HYPERLINK("https://cms.ls-nyc.org/matter/dynamic-profile/view/1878261","18-1878261")</f>
        <v>0</v>
      </c>
      <c r="B1143" t="s">
        <v>74</v>
      </c>
      <c r="C1143" t="s">
        <v>83</v>
      </c>
      <c r="D1143" t="s">
        <v>137</v>
      </c>
      <c r="F1143" t="s">
        <v>1129</v>
      </c>
      <c r="G1143" t="s">
        <v>2207</v>
      </c>
      <c r="H1143" t="s">
        <v>3470</v>
      </c>
      <c r="J1143" t="s">
        <v>4222</v>
      </c>
      <c r="K1143">
        <v>11436</v>
      </c>
      <c r="L1143" t="s">
        <v>4276</v>
      </c>
      <c r="M1143" t="s">
        <v>4277</v>
      </c>
      <c r="O1143" t="s">
        <v>4282</v>
      </c>
      <c r="P1143" t="s">
        <v>5304</v>
      </c>
      <c r="Q1143" t="s">
        <v>5732</v>
      </c>
      <c r="R1143" t="s">
        <v>5753</v>
      </c>
      <c r="V1143" t="s">
        <v>5767</v>
      </c>
      <c r="X1143" t="s">
        <v>305</v>
      </c>
      <c r="Y1143">
        <v>0</v>
      </c>
      <c r="Z1143" t="s">
        <v>5803</v>
      </c>
      <c r="AA1143" t="s">
        <v>5804</v>
      </c>
      <c r="AC1143" t="s">
        <v>6874</v>
      </c>
      <c r="AE1143" t="s">
        <v>8856</v>
      </c>
      <c r="AF1143">
        <v>0</v>
      </c>
      <c r="AG1143" t="s">
        <v>9269</v>
      </c>
      <c r="AH1143" t="s">
        <v>4280</v>
      </c>
      <c r="AI1143">
        <v>18</v>
      </c>
      <c r="AJ1143">
        <v>2</v>
      </c>
      <c r="AK1143">
        <v>0</v>
      </c>
      <c r="AL1143">
        <v>125.61</v>
      </c>
      <c r="AP1143">
        <v>20676</v>
      </c>
      <c r="AV1143">
        <v>0.25</v>
      </c>
      <c r="AW1143" t="s">
        <v>74</v>
      </c>
    </row>
    <row r="1144" spans="1:49">
      <c r="A1144" s="1">
        <f>HYPERLINK("https://cms.ls-nyc.org/matter/dynamic-profile/view/1874848","18-1874848")</f>
        <v>0</v>
      </c>
      <c r="B1144" t="s">
        <v>74</v>
      </c>
      <c r="C1144" t="s">
        <v>82</v>
      </c>
      <c r="D1144" t="s">
        <v>85</v>
      </c>
      <c r="E1144" t="s">
        <v>257</v>
      </c>
      <c r="F1144" t="s">
        <v>376</v>
      </c>
      <c r="G1144" t="s">
        <v>2208</v>
      </c>
      <c r="H1144" t="s">
        <v>3471</v>
      </c>
      <c r="I1144" t="s">
        <v>4021</v>
      </c>
      <c r="J1144" t="s">
        <v>4255</v>
      </c>
      <c r="K1144">
        <v>11372</v>
      </c>
      <c r="L1144" t="s">
        <v>4275</v>
      </c>
      <c r="M1144" t="s">
        <v>4275</v>
      </c>
      <c r="O1144" t="s">
        <v>4282</v>
      </c>
      <c r="P1144" t="s">
        <v>5305</v>
      </c>
      <c r="Q1144" t="s">
        <v>5731</v>
      </c>
      <c r="R1144" t="s">
        <v>5753</v>
      </c>
      <c r="S1144" t="s">
        <v>5759</v>
      </c>
      <c r="T1144" t="s">
        <v>4276</v>
      </c>
      <c r="V1144" t="s">
        <v>5767</v>
      </c>
      <c r="X1144" t="s">
        <v>85</v>
      </c>
      <c r="Y1144">
        <v>1500</v>
      </c>
      <c r="Z1144" t="s">
        <v>5803</v>
      </c>
      <c r="AA1144" t="s">
        <v>5807</v>
      </c>
      <c r="AB1144" t="s">
        <v>5821</v>
      </c>
      <c r="AC1144" t="s">
        <v>6875</v>
      </c>
      <c r="AD1144" t="s">
        <v>7702</v>
      </c>
      <c r="AE1144" t="s">
        <v>8857</v>
      </c>
      <c r="AF1144">
        <v>12</v>
      </c>
      <c r="AG1144" t="s">
        <v>9272</v>
      </c>
      <c r="AH1144" t="s">
        <v>4280</v>
      </c>
      <c r="AI1144">
        <v>5</v>
      </c>
      <c r="AJ1144">
        <v>1</v>
      </c>
      <c r="AK1144">
        <v>2</v>
      </c>
      <c r="AL1144">
        <v>138.59</v>
      </c>
      <c r="AO1144" t="s">
        <v>9298</v>
      </c>
      <c r="AP1144">
        <v>28800</v>
      </c>
      <c r="AV1144">
        <v>1.5</v>
      </c>
      <c r="AW1144" t="s">
        <v>74</v>
      </c>
    </row>
    <row r="1145" spans="1:49">
      <c r="A1145" s="1">
        <f>HYPERLINK("https://cms.ls-nyc.org/matter/dynamic-profile/view/1892788","19-1892788")</f>
        <v>0</v>
      </c>
      <c r="B1145" t="s">
        <v>74</v>
      </c>
      <c r="C1145" t="s">
        <v>82</v>
      </c>
      <c r="D1145" t="s">
        <v>134</v>
      </c>
      <c r="E1145" t="s">
        <v>114</v>
      </c>
      <c r="F1145" t="s">
        <v>1130</v>
      </c>
      <c r="G1145" t="s">
        <v>2209</v>
      </c>
      <c r="H1145" t="s">
        <v>3472</v>
      </c>
      <c r="I1145" t="s">
        <v>3866</v>
      </c>
      <c r="J1145" t="s">
        <v>4237</v>
      </c>
      <c r="K1145">
        <v>11356</v>
      </c>
      <c r="L1145" t="s">
        <v>4275</v>
      </c>
      <c r="M1145" t="s">
        <v>4276</v>
      </c>
      <c r="O1145" t="s">
        <v>4282</v>
      </c>
      <c r="R1145" t="s">
        <v>5753</v>
      </c>
      <c r="S1145" t="s">
        <v>5759</v>
      </c>
      <c r="V1145" t="s">
        <v>5767</v>
      </c>
      <c r="X1145" t="s">
        <v>134</v>
      </c>
      <c r="Y1145">
        <v>1500</v>
      </c>
      <c r="Z1145" t="s">
        <v>5803</v>
      </c>
      <c r="AA1145" t="s">
        <v>5804</v>
      </c>
      <c r="AB1145" t="s">
        <v>5821</v>
      </c>
      <c r="AC1145" t="s">
        <v>5851</v>
      </c>
      <c r="AD1145" t="s">
        <v>7703</v>
      </c>
      <c r="AE1145" t="s">
        <v>7866</v>
      </c>
      <c r="AF1145">
        <v>2</v>
      </c>
      <c r="AG1145" t="s">
        <v>9269</v>
      </c>
      <c r="AH1145" t="s">
        <v>4280</v>
      </c>
      <c r="AI1145">
        <v>2</v>
      </c>
      <c r="AJ1145">
        <v>1</v>
      </c>
      <c r="AK1145">
        <v>2</v>
      </c>
      <c r="AL1145">
        <v>140.65</v>
      </c>
      <c r="AP1145">
        <v>30000</v>
      </c>
      <c r="AV1145">
        <v>1.3</v>
      </c>
      <c r="AW1145" t="s">
        <v>74</v>
      </c>
    </row>
    <row r="1146" spans="1:49">
      <c r="A1146" s="1">
        <f>HYPERLINK("https://cms.ls-nyc.org/matter/dynamic-profile/view/1873832","18-1873832")</f>
        <v>0</v>
      </c>
      <c r="B1146" t="s">
        <v>74</v>
      </c>
      <c r="C1146" t="s">
        <v>82</v>
      </c>
      <c r="D1146" t="s">
        <v>112</v>
      </c>
      <c r="E1146" t="s">
        <v>199</v>
      </c>
      <c r="F1146" t="s">
        <v>321</v>
      </c>
      <c r="G1146" t="s">
        <v>2210</v>
      </c>
      <c r="H1146" t="s">
        <v>3473</v>
      </c>
      <c r="I1146" t="s">
        <v>3900</v>
      </c>
      <c r="J1146" t="s">
        <v>4227</v>
      </c>
      <c r="K1146">
        <v>11365</v>
      </c>
      <c r="L1146" t="s">
        <v>4275</v>
      </c>
      <c r="M1146" t="s">
        <v>4277</v>
      </c>
      <c r="O1146" t="s">
        <v>4282</v>
      </c>
      <c r="P1146" t="s">
        <v>5306</v>
      </c>
      <c r="Q1146" t="s">
        <v>5731</v>
      </c>
      <c r="R1146" t="s">
        <v>5753</v>
      </c>
      <c r="S1146" t="s">
        <v>5759</v>
      </c>
      <c r="T1146" t="s">
        <v>4276</v>
      </c>
      <c r="V1146" t="s">
        <v>5767</v>
      </c>
      <c r="Y1146">
        <v>1033.42</v>
      </c>
      <c r="Z1146" t="s">
        <v>5803</v>
      </c>
      <c r="AA1146" t="s">
        <v>5804</v>
      </c>
      <c r="AB1146" t="s">
        <v>5821</v>
      </c>
      <c r="AC1146" t="s">
        <v>6876</v>
      </c>
      <c r="AD1146" t="s">
        <v>7704</v>
      </c>
      <c r="AE1146" t="s">
        <v>8858</v>
      </c>
      <c r="AF1146">
        <v>73</v>
      </c>
      <c r="AG1146" t="s">
        <v>9273</v>
      </c>
      <c r="AH1146" t="s">
        <v>9287</v>
      </c>
      <c r="AI1146">
        <v>7</v>
      </c>
      <c r="AJ1146">
        <v>1</v>
      </c>
      <c r="AK1146">
        <v>0</v>
      </c>
      <c r="AL1146">
        <v>148.27</v>
      </c>
      <c r="AO1146" t="s">
        <v>1425</v>
      </c>
      <c r="AP1146">
        <v>18000</v>
      </c>
      <c r="AV1146">
        <v>1</v>
      </c>
      <c r="AW1146" t="s">
        <v>73</v>
      </c>
    </row>
    <row r="1147" spans="1:49">
      <c r="A1147" s="1">
        <f>HYPERLINK("https://cms.ls-nyc.org/matter/dynamic-profile/view/1876824","18-1876824")</f>
        <v>0</v>
      </c>
      <c r="B1147" t="s">
        <v>74</v>
      </c>
      <c r="C1147" t="s">
        <v>82</v>
      </c>
      <c r="D1147" t="s">
        <v>120</v>
      </c>
      <c r="E1147" t="s">
        <v>282</v>
      </c>
      <c r="F1147" t="s">
        <v>1131</v>
      </c>
      <c r="G1147" t="s">
        <v>2211</v>
      </c>
      <c r="H1147" t="s">
        <v>3474</v>
      </c>
      <c r="I1147" t="s">
        <v>3906</v>
      </c>
      <c r="J1147" t="s">
        <v>4222</v>
      </c>
      <c r="K1147">
        <v>11432</v>
      </c>
      <c r="L1147" t="s">
        <v>4275</v>
      </c>
      <c r="M1147" t="s">
        <v>4275</v>
      </c>
      <c r="O1147" t="s">
        <v>4282</v>
      </c>
      <c r="P1147" t="s">
        <v>5307</v>
      </c>
      <c r="Q1147" t="s">
        <v>5731</v>
      </c>
      <c r="R1147" t="s">
        <v>5753</v>
      </c>
      <c r="S1147" t="s">
        <v>5763</v>
      </c>
      <c r="T1147" t="s">
        <v>4276</v>
      </c>
      <c r="V1147" t="s">
        <v>5767</v>
      </c>
      <c r="W1147" t="s">
        <v>5771</v>
      </c>
      <c r="X1147" t="s">
        <v>259</v>
      </c>
      <c r="Y1147">
        <v>2270</v>
      </c>
      <c r="Z1147" t="s">
        <v>5803</v>
      </c>
      <c r="AA1147" t="s">
        <v>5804</v>
      </c>
      <c r="AB1147" t="s">
        <v>5826</v>
      </c>
      <c r="AC1147" t="s">
        <v>6877</v>
      </c>
      <c r="AD1147" t="s">
        <v>7705</v>
      </c>
      <c r="AE1147" t="s">
        <v>8859</v>
      </c>
      <c r="AF1147">
        <v>140</v>
      </c>
      <c r="AG1147" t="s">
        <v>9272</v>
      </c>
      <c r="AH1147" t="s">
        <v>4280</v>
      </c>
      <c r="AI1147">
        <v>14</v>
      </c>
      <c r="AJ1147">
        <v>2</v>
      </c>
      <c r="AK1147">
        <v>2</v>
      </c>
      <c r="AL1147">
        <v>150.26</v>
      </c>
      <c r="AO1147" t="s">
        <v>1425</v>
      </c>
      <c r="AP1147">
        <v>37716</v>
      </c>
      <c r="AV1147">
        <v>5.35</v>
      </c>
      <c r="AW1147" t="s">
        <v>73</v>
      </c>
    </row>
    <row r="1148" spans="1:49">
      <c r="A1148" s="1">
        <f>HYPERLINK("https://cms.ls-nyc.org/matter/dynamic-profile/view/1898619","19-1898619")</f>
        <v>0</v>
      </c>
      <c r="B1148" t="s">
        <v>74</v>
      </c>
      <c r="C1148" t="s">
        <v>82</v>
      </c>
      <c r="D1148" t="s">
        <v>141</v>
      </c>
      <c r="E1148" t="s">
        <v>288</v>
      </c>
      <c r="F1148" t="s">
        <v>1132</v>
      </c>
      <c r="G1148" t="s">
        <v>2212</v>
      </c>
      <c r="H1148" t="s">
        <v>3475</v>
      </c>
      <c r="I1148" t="s">
        <v>3846</v>
      </c>
      <c r="J1148" t="s">
        <v>4246</v>
      </c>
      <c r="K1148">
        <v>11694</v>
      </c>
      <c r="L1148" t="s">
        <v>4275</v>
      </c>
      <c r="M1148" t="s">
        <v>4275</v>
      </c>
      <c r="O1148" t="s">
        <v>4282</v>
      </c>
      <c r="P1148" t="s">
        <v>5308</v>
      </c>
      <c r="R1148" t="s">
        <v>5753</v>
      </c>
      <c r="S1148" t="s">
        <v>5759</v>
      </c>
      <c r="V1148" t="s">
        <v>5767</v>
      </c>
      <c r="X1148" t="s">
        <v>5800</v>
      </c>
      <c r="Y1148">
        <v>1700</v>
      </c>
      <c r="Z1148" t="s">
        <v>5803</v>
      </c>
      <c r="AA1148" t="s">
        <v>5804</v>
      </c>
      <c r="AB1148" t="s">
        <v>5821</v>
      </c>
      <c r="AC1148" t="s">
        <v>6878</v>
      </c>
      <c r="AE1148" t="s">
        <v>8860</v>
      </c>
      <c r="AF1148">
        <v>0</v>
      </c>
      <c r="AG1148" t="s">
        <v>9272</v>
      </c>
      <c r="AH1148" t="s">
        <v>4280</v>
      </c>
      <c r="AI1148">
        <v>3</v>
      </c>
      <c r="AJ1148">
        <v>1</v>
      </c>
      <c r="AK1148">
        <v>0</v>
      </c>
      <c r="AL1148">
        <v>152.38</v>
      </c>
      <c r="AP1148">
        <v>19032</v>
      </c>
      <c r="AV1148">
        <v>1</v>
      </c>
      <c r="AW1148" t="s">
        <v>74</v>
      </c>
    </row>
    <row r="1149" spans="1:49">
      <c r="A1149" s="1">
        <f>HYPERLINK("https://cms.ls-nyc.org/matter/dynamic-profile/view/1901058","19-1901058")</f>
        <v>0</v>
      </c>
      <c r="B1149" t="s">
        <v>74</v>
      </c>
      <c r="C1149" t="s">
        <v>83</v>
      </c>
      <c r="D1149" t="s">
        <v>217</v>
      </c>
      <c r="F1149" t="s">
        <v>1133</v>
      </c>
      <c r="G1149" t="s">
        <v>1486</v>
      </c>
      <c r="H1149" t="s">
        <v>3476</v>
      </c>
      <c r="I1149" t="s">
        <v>3849</v>
      </c>
      <c r="J1149" t="s">
        <v>4222</v>
      </c>
      <c r="K1149">
        <v>11433</v>
      </c>
      <c r="L1149" t="s">
        <v>4277</v>
      </c>
      <c r="M1149" t="s">
        <v>4277</v>
      </c>
      <c r="O1149" t="s">
        <v>4282</v>
      </c>
      <c r="P1149" t="s">
        <v>5309</v>
      </c>
      <c r="Q1149" t="s">
        <v>5732</v>
      </c>
      <c r="V1149" t="s">
        <v>5767</v>
      </c>
      <c r="Y1149">
        <v>1000</v>
      </c>
      <c r="Z1149" t="s">
        <v>5803</v>
      </c>
      <c r="AA1149" t="s">
        <v>5804</v>
      </c>
      <c r="AC1149" t="s">
        <v>6879</v>
      </c>
      <c r="AE1149" t="s">
        <v>8861</v>
      </c>
      <c r="AF1149">
        <v>2</v>
      </c>
      <c r="AG1149" t="s">
        <v>9269</v>
      </c>
      <c r="AH1149" t="s">
        <v>4280</v>
      </c>
      <c r="AI1149">
        <v>9</v>
      </c>
      <c r="AJ1149">
        <v>3</v>
      </c>
      <c r="AK1149">
        <v>3</v>
      </c>
      <c r="AL1149">
        <v>153.22</v>
      </c>
      <c r="AO1149" t="s">
        <v>1425</v>
      </c>
      <c r="AP1149">
        <v>53000</v>
      </c>
      <c r="AV1149">
        <v>1</v>
      </c>
      <c r="AW1149" t="s">
        <v>74</v>
      </c>
    </row>
    <row r="1150" spans="1:49">
      <c r="A1150" s="1">
        <f>HYPERLINK("https://cms.ls-nyc.org/matter/dynamic-profile/view/1879860","18-1879860")</f>
        <v>0</v>
      </c>
      <c r="B1150" t="s">
        <v>74</v>
      </c>
      <c r="C1150" t="s">
        <v>83</v>
      </c>
      <c r="D1150" t="s">
        <v>92</v>
      </c>
      <c r="F1150" t="s">
        <v>1134</v>
      </c>
      <c r="G1150" t="s">
        <v>2213</v>
      </c>
      <c r="H1150" t="s">
        <v>3477</v>
      </c>
      <c r="I1150">
        <v>701</v>
      </c>
      <c r="J1150" t="s">
        <v>4241</v>
      </c>
      <c r="K1150">
        <v>11368</v>
      </c>
      <c r="L1150" t="s">
        <v>4275</v>
      </c>
      <c r="M1150" t="s">
        <v>4277</v>
      </c>
      <c r="O1150" t="s">
        <v>4282</v>
      </c>
      <c r="P1150" t="s">
        <v>5310</v>
      </c>
      <c r="Q1150" t="s">
        <v>5731</v>
      </c>
      <c r="T1150" t="s">
        <v>5765</v>
      </c>
      <c r="V1150" t="s">
        <v>5767</v>
      </c>
      <c r="X1150" t="s">
        <v>92</v>
      </c>
      <c r="Y1150">
        <v>2119</v>
      </c>
      <c r="Z1150" t="s">
        <v>5803</v>
      </c>
      <c r="AA1150" t="s">
        <v>5804</v>
      </c>
      <c r="AC1150" t="s">
        <v>6880</v>
      </c>
      <c r="AE1150" t="s">
        <v>8862</v>
      </c>
      <c r="AF1150">
        <v>80</v>
      </c>
      <c r="AG1150" t="s">
        <v>9272</v>
      </c>
      <c r="AH1150" t="s">
        <v>4280</v>
      </c>
      <c r="AI1150">
        <v>2</v>
      </c>
      <c r="AJ1150">
        <v>2</v>
      </c>
      <c r="AK1150">
        <v>1</v>
      </c>
      <c r="AL1150">
        <v>153.99</v>
      </c>
      <c r="AO1150" t="s">
        <v>1425</v>
      </c>
      <c r="AP1150">
        <v>32000</v>
      </c>
      <c r="AV1150">
        <v>1.55</v>
      </c>
      <c r="AW1150" t="s">
        <v>74</v>
      </c>
    </row>
    <row r="1151" spans="1:49">
      <c r="A1151" s="1">
        <f>HYPERLINK("https://cms.ls-nyc.org/matter/dynamic-profile/view/1879536","18-1879536")</f>
        <v>0</v>
      </c>
      <c r="B1151" t="s">
        <v>74</v>
      </c>
      <c r="C1151" t="s">
        <v>83</v>
      </c>
      <c r="D1151" t="s">
        <v>128</v>
      </c>
      <c r="F1151" t="s">
        <v>1135</v>
      </c>
      <c r="G1151" t="s">
        <v>2214</v>
      </c>
      <c r="H1151" t="s">
        <v>3478</v>
      </c>
      <c r="I1151">
        <v>302</v>
      </c>
      <c r="J1151" t="s">
        <v>4254</v>
      </c>
      <c r="K1151">
        <v>11692</v>
      </c>
      <c r="L1151" t="s">
        <v>4275</v>
      </c>
      <c r="M1151" t="s">
        <v>4275</v>
      </c>
      <c r="O1151" t="s">
        <v>4283</v>
      </c>
      <c r="P1151" t="s">
        <v>5311</v>
      </c>
      <c r="Q1151" t="s">
        <v>5731</v>
      </c>
      <c r="R1151" t="s">
        <v>5753</v>
      </c>
      <c r="T1151" t="s">
        <v>4276</v>
      </c>
      <c r="V1151" t="s">
        <v>5767</v>
      </c>
      <c r="W1151" t="s">
        <v>5773</v>
      </c>
      <c r="X1151" t="s">
        <v>128</v>
      </c>
      <c r="Y1151">
        <v>1325</v>
      </c>
      <c r="Z1151" t="s">
        <v>5803</v>
      </c>
      <c r="AA1151" t="s">
        <v>5804</v>
      </c>
      <c r="AC1151" t="s">
        <v>6881</v>
      </c>
      <c r="AD1151" t="s">
        <v>7706</v>
      </c>
      <c r="AE1151" t="s">
        <v>8863</v>
      </c>
      <c r="AF1151">
        <v>8</v>
      </c>
      <c r="AG1151" t="s">
        <v>9272</v>
      </c>
      <c r="AH1151" t="s">
        <v>4280</v>
      </c>
      <c r="AI1151">
        <v>20</v>
      </c>
      <c r="AJ1151">
        <v>4</v>
      </c>
      <c r="AK1151">
        <v>0</v>
      </c>
      <c r="AL1151">
        <v>159.4</v>
      </c>
      <c r="AO1151" t="s">
        <v>1425</v>
      </c>
      <c r="AP1151">
        <v>40010</v>
      </c>
      <c r="AV1151">
        <v>2</v>
      </c>
      <c r="AW1151" t="s">
        <v>74</v>
      </c>
    </row>
    <row r="1152" spans="1:49">
      <c r="A1152" s="1">
        <f>HYPERLINK("https://cms.ls-nyc.org/matter/dynamic-profile/view/1873907","18-1873907")</f>
        <v>0</v>
      </c>
      <c r="B1152" t="s">
        <v>74</v>
      </c>
      <c r="C1152" t="s">
        <v>82</v>
      </c>
      <c r="D1152" t="s">
        <v>131</v>
      </c>
      <c r="E1152" t="s">
        <v>258</v>
      </c>
      <c r="F1152" t="s">
        <v>1136</v>
      </c>
      <c r="G1152" t="s">
        <v>1763</v>
      </c>
      <c r="H1152" t="s">
        <v>3479</v>
      </c>
      <c r="I1152" t="s">
        <v>3886</v>
      </c>
      <c r="J1152" t="s">
        <v>4243</v>
      </c>
      <c r="K1152">
        <v>11691</v>
      </c>
      <c r="L1152" t="s">
        <v>4275</v>
      </c>
      <c r="M1152" t="s">
        <v>4275</v>
      </c>
      <c r="N1152" t="s">
        <v>4278</v>
      </c>
      <c r="O1152" t="s">
        <v>4283</v>
      </c>
      <c r="P1152" t="s">
        <v>5312</v>
      </c>
      <c r="Q1152" t="s">
        <v>5731</v>
      </c>
      <c r="R1152" t="s">
        <v>5753</v>
      </c>
      <c r="S1152" t="s">
        <v>5759</v>
      </c>
      <c r="T1152" t="s">
        <v>4276</v>
      </c>
      <c r="V1152" t="s">
        <v>5767</v>
      </c>
      <c r="W1152" t="s">
        <v>5771</v>
      </c>
      <c r="X1152" t="s">
        <v>131</v>
      </c>
      <c r="Y1152">
        <v>1625</v>
      </c>
      <c r="Z1152" t="s">
        <v>5803</v>
      </c>
      <c r="AA1152" t="s">
        <v>5804</v>
      </c>
      <c r="AB1152" t="s">
        <v>5821</v>
      </c>
      <c r="AC1152" t="s">
        <v>6882</v>
      </c>
      <c r="AD1152" t="s">
        <v>7707</v>
      </c>
      <c r="AE1152" t="s">
        <v>8864</v>
      </c>
      <c r="AF1152">
        <v>65</v>
      </c>
      <c r="AG1152" t="s">
        <v>9272</v>
      </c>
      <c r="AH1152" t="s">
        <v>4280</v>
      </c>
      <c r="AI1152">
        <v>1</v>
      </c>
      <c r="AJ1152">
        <v>1</v>
      </c>
      <c r="AK1152">
        <v>1</v>
      </c>
      <c r="AL1152">
        <v>162.82</v>
      </c>
      <c r="AO1152" t="s">
        <v>1425</v>
      </c>
      <c r="AP1152">
        <v>26800</v>
      </c>
      <c r="AV1152">
        <v>1.5</v>
      </c>
      <c r="AW1152" t="s">
        <v>74</v>
      </c>
    </row>
    <row r="1153" spans="1:49">
      <c r="A1153" s="1">
        <f>HYPERLINK("https://cms.ls-nyc.org/matter/dynamic-profile/view/1880784","18-1880784")</f>
        <v>0</v>
      </c>
      <c r="B1153" t="s">
        <v>74</v>
      </c>
      <c r="C1153" t="s">
        <v>82</v>
      </c>
      <c r="D1153" t="s">
        <v>84</v>
      </c>
      <c r="E1153" t="s">
        <v>306</v>
      </c>
      <c r="F1153" t="s">
        <v>1137</v>
      </c>
      <c r="G1153" t="s">
        <v>2215</v>
      </c>
      <c r="H1153" t="s">
        <v>3480</v>
      </c>
      <c r="I1153" t="s">
        <v>3971</v>
      </c>
      <c r="J1153" t="s">
        <v>4251</v>
      </c>
      <c r="K1153">
        <v>11377</v>
      </c>
      <c r="L1153" t="s">
        <v>4275</v>
      </c>
      <c r="M1153" t="s">
        <v>4275</v>
      </c>
      <c r="O1153" t="s">
        <v>4282</v>
      </c>
      <c r="P1153" t="s">
        <v>5313</v>
      </c>
      <c r="Q1153" t="s">
        <v>5732</v>
      </c>
      <c r="R1153" t="s">
        <v>5752</v>
      </c>
      <c r="S1153" t="s">
        <v>5759</v>
      </c>
      <c r="T1153" t="s">
        <v>4276</v>
      </c>
      <c r="V1153" t="s">
        <v>5767</v>
      </c>
      <c r="W1153" t="s">
        <v>5772</v>
      </c>
      <c r="X1153" t="s">
        <v>84</v>
      </c>
      <c r="Y1153">
        <v>640</v>
      </c>
      <c r="Z1153" t="s">
        <v>5803</v>
      </c>
      <c r="AA1153" t="s">
        <v>5804</v>
      </c>
      <c r="AB1153" t="s">
        <v>5821</v>
      </c>
      <c r="AC1153" t="s">
        <v>6883</v>
      </c>
      <c r="AE1153" t="s">
        <v>8865</v>
      </c>
      <c r="AF1153">
        <v>2</v>
      </c>
      <c r="AG1153" t="s">
        <v>9269</v>
      </c>
      <c r="AH1153" t="s">
        <v>4280</v>
      </c>
      <c r="AI1153">
        <v>1</v>
      </c>
      <c r="AJ1153">
        <v>1</v>
      </c>
      <c r="AK1153">
        <v>0</v>
      </c>
      <c r="AL1153">
        <v>164.74</v>
      </c>
      <c r="AO1153" t="s">
        <v>1425</v>
      </c>
      <c r="AP1153">
        <v>20000</v>
      </c>
      <c r="AV1153">
        <v>1</v>
      </c>
      <c r="AW1153" t="s">
        <v>73</v>
      </c>
    </row>
    <row r="1154" spans="1:49">
      <c r="A1154" s="1">
        <f>HYPERLINK("https://cms.ls-nyc.org/matter/dynamic-profile/view/1888147","19-1888147")</f>
        <v>0</v>
      </c>
      <c r="B1154" t="s">
        <v>74</v>
      </c>
      <c r="C1154" t="s">
        <v>83</v>
      </c>
      <c r="D1154" t="s">
        <v>144</v>
      </c>
      <c r="F1154" t="s">
        <v>1138</v>
      </c>
      <c r="G1154" t="s">
        <v>1720</v>
      </c>
      <c r="H1154" t="s">
        <v>3331</v>
      </c>
      <c r="I1154" t="s">
        <v>3997</v>
      </c>
      <c r="J1154" t="s">
        <v>4223</v>
      </c>
      <c r="K1154">
        <v>11423</v>
      </c>
      <c r="L1154" t="s">
        <v>4276</v>
      </c>
      <c r="M1154" t="s">
        <v>4275</v>
      </c>
      <c r="O1154" t="s">
        <v>4283</v>
      </c>
      <c r="P1154" t="s">
        <v>4808</v>
      </c>
      <c r="Q1154" t="s">
        <v>5733</v>
      </c>
      <c r="R1154" t="s">
        <v>5753</v>
      </c>
      <c r="V1154" t="s">
        <v>5770</v>
      </c>
      <c r="W1154" t="s">
        <v>5772</v>
      </c>
      <c r="Y1154">
        <v>1140</v>
      </c>
      <c r="Z1154" t="s">
        <v>5803</v>
      </c>
      <c r="AA1154" t="s">
        <v>5815</v>
      </c>
      <c r="AC1154" t="s">
        <v>6884</v>
      </c>
      <c r="AE1154" t="s">
        <v>8866</v>
      </c>
      <c r="AF1154">
        <v>16</v>
      </c>
      <c r="AG1154" t="s">
        <v>9272</v>
      </c>
      <c r="AH1154" t="s">
        <v>4280</v>
      </c>
      <c r="AI1154">
        <v>3</v>
      </c>
      <c r="AJ1154">
        <v>1</v>
      </c>
      <c r="AK1154">
        <v>0</v>
      </c>
      <c r="AL1154">
        <v>167.05</v>
      </c>
      <c r="AP1154">
        <v>20280</v>
      </c>
      <c r="AV1154">
        <v>0</v>
      </c>
      <c r="AW1154" t="s">
        <v>74</v>
      </c>
    </row>
    <row r="1155" spans="1:49">
      <c r="A1155" s="1">
        <f>HYPERLINK("https://cms.ls-nyc.org/matter/dynamic-profile/view/1876321","18-1876321")</f>
        <v>0</v>
      </c>
      <c r="B1155" t="s">
        <v>74</v>
      </c>
      <c r="C1155" t="s">
        <v>82</v>
      </c>
      <c r="D1155" t="s">
        <v>194</v>
      </c>
      <c r="E1155" t="s">
        <v>247</v>
      </c>
      <c r="F1155" t="s">
        <v>1139</v>
      </c>
      <c r="G1155" t="s">
        <v>1462</v>
      </c>
      <c r="H1155" t="s">
        <v>3481</v>
      </c>
      <c r="J1155" t="s">
        <v>4243</v>
      </c>
      <c r="K1155">
        <v>11691</v>
      </c>
      <c r="L1155" t="s">
        <v>4275</v>
      </c>
      <c r="M1155" t="s">
        <v>4275</v>
      </c>
      <c r="O1155" t="s">
        <v>4283</v>
      </c>
      <c r="P1155" t="s">
        <v>5314</v>
      </c>
      <c r="Q1155" t="s">
        <v>5732</v>
      </c>
      <c r="R1155" t="s">
        <v>5753</v>
      </c>
      <c r="S1155" t="s">
        <v>5759</v>
      </c>
      <c r="T1155" t="s">
        <v>4276</v>
      </c>
      <c r="V1155" t="s">
        <v>5767</v>
      </c>
      <c r="W1155" t="s">
        <v>5773</v>
      </c>
      <c r="X1155" t="s">
        <v>260</v>
      </c>
      <c r="Y1155">
        <v>1600</v>
      </c>
      <c r="Z1155" t="s">
        <v>5803</v>
      </c>
      <c r="AA1155" t="s">
        <v>5804</v>
      </c>
      <c r="AB1155" t="s">
        <v>5821</v>
      </c>
      <c r="AC1155" t="s">
        <v>6885</v>
      </c>
      <c r="AE1155" t="s">
        <v>8867</v>
      </c>
      <c r="AF1155">
        <v>2</v>
      </c>
      <c r="AG1155" t="s">
        <v>9269</v>
      </c>
      <c r="AH1155" t="s">
        <v>4280</v>
      </c>
      <c r="AI1155">
        <v>1</v>
      </c>
      <c r="AJ1155">
        <v>4</v>
      </c>
      <c r="AK1155">
        <v>1</v>
      </c>
      <c r="AL1155">
        <v>169.95</v>
      </c>
      <c r="AO1155" t="s">
        <v>1425</v>
      </c>
      <c r="AP1155">
        <v>50000</v>
      </c>
      <c r="AV1155">
        <v>0.5</v>
      </c>
      <c r="AW1155" t="s">
        <v>54</v>
      </c>
    </row>
    <row r="1156" spans="1:49">
      <c r="A1156" s="1">
        <f>HYPERLINK("https://cms.ls-nyc.org/matter/dynamic-profile/view/1880248","18-1880248")</f>
        <v>0</v>
      </c>
      <c r="B1156" t="s">
        <v>74</v>
      </c>
      <c r="C1156" t="s">
        <v>82</v>
      </c>
      <c r="D1156" t="s">
        <v>276</v>
      </c>
      <c r="E1156" t="s">
        <v>311</v>
      </c>
      <c r="F1156" t="s">
        <v>1140</v>
      </c>
      <c r="G1156" t="s">
        <v>1527</v>
      </c>
      <c r="H1156" t="s">
        <v>3482</v>
      </c>
      <c r="I1156" t="s">
        <v>3846</v>
      </c>
      <c r="J1156" t="s">
        <v>4241</v>
      </c>
      <c r="K1156">
        <v>11368</v>
      </c>
      <c r="L1156" t="s">
        <v>4275</v>
      </c>
      <c r="M1156" t="s">
        <v>4275</v>
      </c>
      <c r="O1156" t="s">
        <v>4282</v>
      </c>
      <c r="P1156" t="s">
        <v>5315</v>
      </c>
      <c r="Q1156" t="s">
        <v>5731</v>
      </c>
      <c r="R1156" t="s">
        <v>5753</v>
      </c>
      <c r="S1156" t="s">
        <v>5759</v>
      </c>
      <c r="T1156" t="s">
        <v>4276</v>
      </c>
      <c r="V1156" t="s">
        <v>5767</v>
      </c>
      <c r="X1156" t="s">
        <v>276</v>
      </c>
      <c r="Y1156">
        <v>1650</v>
      </c>
      <c r="Z1156" t="s">
        <v>5803</v>
      </c>
      <c r="AA1156" t="s">
        <v>5804</v>
      </c>
      <c r="AB1156" t="s">
        <v>5821</v>
      </c>
      <c r="AC1156" t="s">
        <v>6886</v>
      </c>
      <c r="AE1156" t="s">
        <v>8868</v>
      </c>
      <c r="AF1156">
        <v>30</v>
      </c>
      <c r="AG1156" t="s">
        <v>9277</v>
      </c>
      <c r="AH1156" t="s">
        <v>4280</v>
      </c>
      <c r="AI1156">
        <v>1</v>
      </c>
      <c r="AJ1156">
        <v>2</v>
      </c>
      <c r="AK1156">
        <v>1</v>
      </c>
      <c r="AL1156">
        <v>178.06</v>
      </c>
      <c r="AP1156">
        <v>37000</v>
      </c>
      <c r="AV1156">
        <v>1.6</v>
      </c>
      <c r="AW1156" t="s">
        <v>74</v>
      </c>
    </row>
    <row r="1157" spans="1:49">
      <c r="A1157" s="1">
        <f>HYPERLINK("https://cms.ls-nyc.org/matter/dynamic-profile/view/1881050","18-1881050")</f>
        <v>0</v>
      </c>
      <c r="B1157" t="s">
        <v>74</v>
      </c>
      <c r="C1157" t="s">
        <v>82</v>
      </c>
      <c r="D1157" t="s">
        <v>277</v>
      </c>
      <c r="E1157" t="s">
        <v>277</v>
      </c>
      <c r="F1157" t="s">
        <v>838</v>
      </c>
      <c r="G1157" t="s">
        <v>2216</v>
      </c>
      <c r="H1157" t="s">
        <v>3483</v>
      </c>
      <c r="I1157">
        <v>1304</v>
      </c>
      <c r="J1157" t="s">
        <v>4229</v>
      </c>
      <c r="K1157">
        <v>11367</v>
      </c>
      <c r="L1157" t="s">
        <v>4275</v>
      </c>
      <c r="M1157" t="s">
        <v>4275</v>
      </c>
      <c r="O1157" t="s">
        <v>4282</v>
      </c>
      <c r="P1157" t="s">
        <v>5316</v>
      </c>
      <c r="Q1157" t="s">
        <v>5733</v>
      </c>
      <c r="R1157" t="s">
        <v>5753</v>
      </c>
      <c r="S1157" t="s">
        <v>5759</v>
      </c>
      <c r="T1157" t="s">
        <v>4275</v>
      </c>
      <c r="V1157" t="s">
        <v>5767</v>
      </c>
      <c r="X1157" t="s">
        <v>277</v>
      </c>
      <c r="Y1157">
        <v>1022</v>
      </c>
      <c r="Z1157" t="s">
        <v>5803</v>
      </c>
      <c r="AA1157" t="s">
        <v>5804</v>
      </c>
      <c r="AB1157" t="s">
        <v>5821</v>
      </c>
      <c r="AC1157" t="s">
        <v>6887</v>
      </c>
      <c r="AE1157" t="s">
        <v>8869</v>
      </c>
      <c r="AF1157">
        <v>81</v>
      </c>
      <c r="AG1157" t="s">
        <v>9272</v>
      </c>
      <c r="AH1157" t="s">
        <v>4280</v>
      </c>
      <c r="AI1157">
        <v>30</v>
      </c>
      <c r="AJ1157">
        <v>2</v>
      </c>
      <c r="AK1157">
        <v>0</v>
      </c>
      <c r="AL1157">
        <v>188.17</v>
      </c>
      <c r="AO1157" t="s">
        <v>1425</v>
      </c>
      <c r="AP1157">
        <v>30972</v>
      </c>
      <c r="AV1157">
        <v>1.6</v>
      </c>
      <c r="AW1157" t="s">
        <v>74</v>
      </c>
    </row>
    <row r="1158" spans="1:49">
      <c r="A1158" s="1">
        <f>HYPERLINK("https://cms.ls-nyc.org/matter/dynamic-profile/view/1876104","18-1876104")</f>
        <v>0</v>
      </c>
      <c r="B1158" t="s">
        <v>74</v>
      </c>
      <c r="C1158" t="s">
        <v>82</v>
      </c>
      <c r="D1158" t="s">
        <v>278</v>
      </c>
      <c r="E1158" t="s">
        <v>120</v>
      </c>
      <c r="F1158" t="s">
        <v>1141</v>
      </c>
      <c r="G1158" t="s">
        <v>2115</v>
      </c>
      <c r="H1158" t="s">
        <v>3400</v>
      </c>
      <c r="I1158" t="s">
        <v>3867</v>
      </c>
      <c r="J1158" t="s">
        <v>4258</v>
      </c>
      <c r="K1158">
        <v>11369</v>
      </c>
      <c r="L1158" t="s">
        <v>4275</v>
      </c>
      <c r="M1158" t="s">
        <v>4275</v>
      </c>
      <c r="O1158" t="s">
        <v>4282</v>
      </c>
      <c r="P1158" t="s">
        <v>5317</v>
      </c>
      <c r="Q1158" t="s">
        <v>5733</v>
      </c>
      <c r="R1158" t="s">
        <v>5753</v>
      </c>
      <c r="S1158" t="s">
        <v>5759</v>
      </c>
      <c r="T1158" t="s">
        <v>4275</v>
      </c>
      <c r="V1158" t="s">
        <v>5767</v>
      </c>
      <c r="X1158" t="s">
        <v>278</v>
      </c>
      <c r="Y1158">
        <v>3200</v>
      </c>
      <c r="Z1158" t="s">
        <v>5803</v>
      </c>
      <c r="AA1158" t="s">
        <v>5804</v>
      </c>
      <c r="AB1158" t="s">
        <v>5821</v>
      </c>
      <c r="AC1158" t="s">
        <v>6888</v>
      </c>
      <c r="AD1158" t="s">
        <v>7684</v>
      </c>
      <c r="AE1158" t="s">
        <v>8870</v>
      </c>
      <c r="AF1158">
        <v>3</v>
      </c>
      <c r="AG1158" t="s">
        <v>9269</v>
      </c>
      <c r="AH1158" t="s">
        <v>4280</v>
      </c>
      <c r="AI1158">
        <v>2</v>
      </c>
      <c r="AJ1158">
        <v>2</v>
      </c>
      <c r="AK1158">
        <v>2</v>
      </c>
      <c r="AL1158">
        <v>207.17</v>
      </c>
      <c r="AO1158" t="s">
        <v>1425</v>
      </c>
      <c r="AP1158">
        <v>52000</v>
      </c>
      <c r="AV1158">
        <v>1.7</v>
      </c>
      <c r="AW1158" t="s">
        <v>74</v>
      </c>
    </row>
    <row r="1159" spans="1:49">
      <c r="A1159" s="1">
        <f>HYPERLINK("https://cms.ls-nyc.org/matter/dynamic-profile/view/1899481","19-1899481")</f>
        <v>0</v>
      </c>
      <c r="B1159" t="s">
        <v>74</v>
      </c>
      <c r="C1159" t="s">
        <v>83</v>
      </c>
      <c r="D1159" t="s">
        <v>124</v>
      </c>
      <c r="F1159" t="s">
        <v>1142</v>
      </c>
      <c r="G1159" t="s">
        <v>1544</v>
      </c>
      <c r="H1159" t="s">
        <v>2883</v>
      </c>
      <c r="I1159">
        <v>510</v>
      </c>
      <c r="J1159" t="s">
        <v>4240</v>
      </c>
      <c r="K1159">
        <v>11373</v>
      </c>
      <c r="L1159" t="s">
        <v>4275</v>
      </c>
      <c r="M1159" t="s">
        <v>4277</v>
      </c>
      <c r="N1159" t="s">
        <v>4278</v>
      </c>
      <c r="O1159" t="s">
        <v>4281</v>
      </c>
      <c r="P1159" t="s">
        <v>5318</v>
      </c>
      <c r="Q1159" t="s">
        <v>5731</v>
      </c>
      <c r="R1159" t="s">
        <v>5751</v>
      </c>
      <c r="T1159" t="s">
        <v>4276</v>
      </c>
      <c r="V1159" t="s">
        <v>5767</v>
      </c>
      <c r="W1159" t="s">
        <v>5772</v>
      </c>
      <c r="X1159" t="s">
        <v>161</v>
      </c>
      <c r="Y1159">
        <v>1783.45</v>
      </c>
      <c r="Z1159" t="s">
        <v>5803</v>
      </c>
      <c r="AC1159" t="s">
        <v>6889</v>
      </c>
      <c r="AE1159" t="s">
        <v>8871</v>
      </c>
      <c r="AF1159">
        <v>200</v>
      </c>
      <c r="AH1159" t="s">
        <v>4280</v>
      </c>
      <c r="AI1159">
        <v>4</v>
      </c>
      <c r="AJ1159">
        <v>1</v>
      </c>
      <c r="AK1159">
        <v>0</v>
      </c>
      <c r="AL1159">
        <v>208.17</v>
      </c>
      <c r="AO1159" t="s">
        <v>1425</v>
      </c>
      <c r="AP1159">
        <v>26000</v>
      </c>
      <c r="AV1159">
        <v>13.3</v>
      </c>
      <c r="AW1159" t="s">
        <v>74</v>
      </c>
    </row>
    <row r="1160" spans="1:49">
      <c r="A1160" s="1">
        <f>HYPERLINK("https://cms.ls-nyc.org/matter/dynamic-profile/view/1873401","18-1873401")</f>
        <v>0</v>
      </c>
      <c r="B1160" t="s">
        <v>74</v>
      </c>
      <c r="C1160" t="s">
        <v>82</v>
      </c>
      <c r="D1160" t="s">
        <v>153</v>
      </c>
      <c r="E1160" t="s">
        <v>219</v>
      </c>
      <c r="F1160" t="s">
        <v>1143</v>
      </c>
      <c r="G1160" t="s">
        <v>2192</v>
      </c>
      <c r="H1160" t="s">
        <v>3484</v>
      </c>
      <c r="I1160" t="s">
        <v>3864</v>
      </c>
      <c r="J1160" t="s">
        <v>4257</v>
      </c>
      <c r="K1160">
        <v>11379</v>
      </c>
      <c r="L1160" t="s">
        <v>4275</v>
      </c>
      <c r="M1160" t="s">
        <v>4275</v>
      </c>
      <c r="O1160" t="s">
        <v>4282</v>
      </c>
      <c r="P1160" t="s">
        <v>5319</v>
      </c>
      <c r="Q1160" t="s">
        <v>5732</v>
      </c>
      <c r="R1160" t="s">
        <v>5753</v>
      </c>
      <c r="S1160" t="s">
        <v>5759</v>
      </c>
      <c r="T1160" t="s">
        <v>4276</v>
      </c>
      <c r="V1160" t="s">
        <v>5767</v>
      </c>
      <c r="X1160" t="s">
        <v>153</v>
      </c>
      <c r="Y1160">
        <v>1350</v>
      </c>
      <c r="Z1160" t="s">
        <v>5803</v>
      </c>
      <c r="AA1160" t="s">
        <v>5804</v>
      </c>
      <c r="AB1160" t="s">
        <v>5821</v>
      </c>
      <c r="AC1160" t="s">
        <v>6890</v>
      </c>
      <c r="AD1160" t="s">
        <v>7708</v>
      </c>
      <c r="AE1160" t="s">
        <v>8872</v>
      </c>
      <c r="AF1160">
        <v>2</v>
      </c>
      <c r="AG1160" t="s">
        <v>9269</v>
      </c>
      <c r="AH1160" t="s">
        <v>4280</v>
      </c>
      <c r="AI1160">
        <v>7</v>
      </c>
      <c r="AJ1160">
        <v>2</v>
      </c>
      <c r="AK1160">
        <v>2</v>
      </c>
      <c r="AL1160">
        <v>219.12</v>
      </c>
      <c r="AO1160" t="s">
        <v>1425</v>
      </c>
      <c r="AP1160">
        <v>55000</v>
      </c>
      <c r="AV1160">
        <v>0.95</v>
      </c>
      <c r="AW1160" t="s">
        <v>73</v>
      </c>
    </row>
    <row r="1161" spans="1:49">
      <c r="A1161" s="1">
        <f>HYPERLINK("https://cms.ls-nyc.org/matter/dynamic-profile/view/1884835","18-1884835")</f>
        <v>0</v>
      </c>
      <c r="B1161" t="s">
        <v>74</v>
      </c>
      <c r="C1161" t="s">
        <v>83</v>
      </c>
      <c r="D1161" t="s">
        <v>108</v>
      </c>
      <c r="F1161" t="s">
        <v>737</v>
      </c>
      <c r="G1161" t="s">
        <v>2217</v>
      </c>
      <c r="H1161" t="s">
        <v>3485</v>
      </c>
      <c r="I1161" t="s">
        <v>4140</v>
      </c>
      <c r="J1161" t="s">
        <v>4255</v>
      </c>
      <c r="K1161">
        <v>11372</v>
      </c>
      <c r="L1161" t="s">
        <v>4276</v>
      </c>
      <c r="M1161" t="s">
        <v>4276</v>
      </c>
      <c r="O1161" t="s">
        <v>4282</v>
      </c>
      <c r="V1161" t="s">
        <v>5767</v>
      </c>
      <c r="Y1161">
        <v>1450</v>
      </c>
      <c r="Z1161" t="s">
        <v>5803</v>
      </c>
      <c r="AA1161" t="s">
        <v>5811</v>
      </c>
      <c r="AC1161" t="s">
        <v>6891</v>
      </c>
      <c r="AE1161" t="s">
        <v>8873</v>
      </c>
      <c r="AF1161">
        <v>54</v>
      </c>
      <c r="AG1161" t="s">
        <v>9272</v>
      </c>
      <c r="AH1161" t="s">
        <v>4280</v>
      </c>
      <c r="AI1161">
        <v>12</v>
      </c>
      <c r="AJ1161">
        <v>1</v>
      </c>
      <c r="AK1161">
        <v>0</v>
      </c>
      <c r="AL1161">
        <v>247.12</v>
      </c>
      <c r="AP1161">
        <v>30000</v>
      </c>
      <c r="AV1161">
        <v>0</v>
      </c>
      <c r="AW1161" t="s">
        <v>74</v>
      </c>
    </row>
    <row r="1162" spans="1:49">
      <c r="A1162" s="1">
        <f>HYPERLINK("https://cms.ls-nyc.org/matter/dynamic-profile/view/1901052","19-1901052")</f>
        <v>0</v>
      </c>
      <c r="B1162" t="s">
        <v>74</v>
      </c>
      <c r="C1162" t="s">
        <v>83</v>
      </c>
      <c r="D1162" t="s">
        <v>217</v>
      </c>
      <c r="F1162" t="s">
        <v>1144</v>
      </c>
      <c r="G1162" t="s">
        <v>2218</v>
      </c>
      <c r="H1162" t="s">
        <v>3486</v>
      </c>
      <c r="I1162" t="s">
        <v>4141</v>
      </c>
      <c r="J1162" t="s">
        <v>4222</v>
      </c>
      <c r="K1162">
        <v>11432</v>
      </c>
      <c r="L1162" t="s">
        <v>4277</v>
      </c>
      <c r="M1162" t="s">
        <v>4277</v>
      </c>
      <c r="O1162" t="s">
        <v>4282</v>
      </c>
      <c r="P1162" t="s">
        <v>5320</v>
      </c>
      <c r="Q1162" t="s">
        <v>5732</v>
      </c>
      <c r="V1162" t="s">
        <v>5767</v>
      </c>
      <c r="Y1162">
        <v>1325</v>
      </c>
      <c r="Z1162" t="s">
        <v>5803</v>
      </c>
      <c r="AA1162" t="s">
        <v>5804</v>
      </c>
      <c r="AC1162" t="s">
        <v>6783</v>
      </c>
      <c r="AE1162" t="s">
        <v>8874</v>
      </c>
      <c r="AF1162">
        <v>4</v>
      </c>
      <c r="AH1162" t="s">
        <v>5806</v>
      </c>
      <c r="AI1162">
        <v>5</v>
      </c>
      <c r="AJ1162">
        <v>2</v>
      </c>
      <c r="AK1162">
        <v>2</v>
      </c>
      <c r="AL1162">
        <v>251.65</v>
      </c>
      <c r="AP1162">
        <v>64800</v>
      </c>
      <c r="AV1162">
        <v>1.5</v>
      </c>
      <c r="AW1162" t="s">
        <v>74</v>
      </c>
    </row>
    <row r="1163" spans="1:49">
      <c r="A1163" s="1">
        <f>HYPERLINK("https://cms.ls-nyc.org/matter/dynamic-profile/view/1879449","18-1879449")</f>
        <v>0</v>
      </c>
      <c r="B1163" t="s">
        <v>74</v>
      </c>
      <c r="C1163" t="s">
        <v>82</v>
      </c>
      <c r="D1163" t="s">
        <v>128</v>
      </c>
      <c r="E1163" t="s">
        <v>256</v>
      </c>
      <c r="F1163" t="s">
        <v>1145</v>
      </c>
      <c r="G1163" t="s">
        <v>1617</v>
      </c>
      <c r="H1163" t="s">
        <v>3487</v>
      </c>
      <c r="I1163" t="s">
        <v>3849</v>
      </c>
      <c r="J1163" t="s">
        <v>4244</v>
      </c>
      <c r="K1163">
        <v>11413</v>
      </c>
      <c r="L1163" t="s">
        <v>4275</v>
      </c>
      <c r="M1163" t="s">
        <v>4275</v>
      </c>
      <c r="O1163" t="s">
        <v>4282</v>
      </c>
      <c r="P1163" t="s">
        <v>5321</v>
      </c>
      <c r="Q1163" t="s">
        <v>5733</v>
      </c>
      <c r="R1163" t="s">
        <v>5753</v>
      </c>
      <c r="S1163" t="s">
        <v>5759</v>
      </c>
      <c r="T1163" t="s">
        <v>4276</v>
      </c>
      <c r="V1163" t="s">
        <v>5767</v>
      </c>
      <c r="X1163" t="s">
        <v>128</v>
      </c>
      <c r="Y1163">
        <v>1000</v>
      </c>
      <c r="Z1163" t="s">
        <v>5803</v>
      </c>
      <c r="AA1163" t="s">
        <v>5804</v>
      </c>
      <c r="AB1163" t="s">
        <v>5821</v>
      </c>
      <c r="AC1163" t="s">
        <v>6892</v>
      </c>
      <c r="AE1163" t="s">
        <v>8875</v>
      </c>
      <c r="AF1163">
        <v>2</v>
      </c>
      <c r="AG1163" t="s">
        <v>9269</v>
      </c>
      <c r="AH1163" t="s">
        <v>4280</v>
      </c>
      <c r="AI1163">
        <v>5</v>
      </c>
      <c r="AJ1163">
        <v>1</v>
      </c>
      <c r="AK1163">
        <v>2</v>
      </c>
      <c r="AL1163">
        <v>251.72</v>
      </c>
      <c r="AO1163" t="s">
        <v>1425</v>
      </c>
      <c r="AP1163">
        <v>52308</v>
      </c>
      <c r="AV1163">
        <v>1.75</v>
      </c>
      <c r="AW1163" t="s">
        <v>74</v>
      </c>
    </row>
    <row r="1164" spans="1:49">
      <c r="A1164" s="1">
        <f>HYPERLINK("https://cms.ls-nyc.org/matter/dynamic-profile/view/1892002","19-1892002")</f>
        <v>0</v>
      </c>
      <c r="B1164" t="s">
        <v>74</v>
      </c>
      <c r="C1164" t="s">
        <v>82</v>
      </c>
      <c r="D1164" t="s">
        <v>165</v>
      </c>
      <c r="E1164" t="s">
        <v>157</v>
      </c>
      <c r="F1164" t="s">
        <v>482</v>
      </c>
      <c r="G1164" t="s">
        <v>2219</v>
      </c>
      <c r="H1164" t="s">
        <v>3488</v>
      </c>
      <c r="I1164">
        <v>67</v>
      </c>
      <c r="J1164" t="s">
        <v>4241</v>
      </c>
      <c r="K1164">
        <v>11368</v>
      </c>
      <c r="L1164" t="s">
        <v>4277</v>
      </c>
      <c r="M1164" t="s">
        <v>4277</v>
      </c>
      <c r="O1164" t="s">
        <v>4282</v>
      </c>
      <c r="P1164" t="s">
        <v>5322</v>
      </c>
      <c r="Q1164" t="s">
        <v>5733</v>
      </c>
      <c r="R1164" t="s">
        <v>5753</v>
      </c>
      <c r="S1164" t="s">
        <v>5759</v>
      </c>
      <c r="U1164" t="s">
        <v>5766</v>
      </c>
      <c r="V1164" t="s">
        <v>5767</v>
      </c>
      <c r="Y1164">
        <v>1205.31</v>
      </c>
      <c r="Z1164" t="s">
        <v>5803</v>
      </c>
      <c r="AA1164" t="s">
        <v>5804</v>
      </c>
      <c r="AB1164" t="s">
        <v>5821</v>
      </c>
      <c r="AC1164" t="s">
        <v>6893</v>
      </c>
      <c r="AE1164" t="s">
        <v>8876</v>
      </c>
      <c r="AF1164">
        <v>0</v>
      </c>
      <c r="AG1164" t="s">
        <v>9275</v>
      </c>
      <c r="AH1164" t="s">
        <v>4280</v>
      </c>
      <c r="AI1164">
        <v>20</v>
      </c>
      <c r="AJ1164">
        <v>4</v>
      </c>
      <c r="AK1164">
        <v>0</v>
      </c>
      <c r="AL1164">
        <v>251.88</v>
      </c>
      <c r="AO1164" t="s">
        <v>1425</v>
      </c>
      <c r="AP1164">
        <v>64858</v>
      </c>
      <c r="AV1164">
        <v>0.75</v>
      </c>
      <c r="AW1164" t="s">
        <v>54</v>
      </c>
    </row>
    <row r="1165" spans="1:49">
      <c r="A1165" s="1">
        <f>HYPERLINK("https://cms.ls-nyc.org/matter/dynamic-profile/view/1877429","18-1877429")</f>
        <v>0</v>
      </c>
      <c r="B1165" t="s">
        <v>74</v>
      </c>
      <c r="C1165" t="s">
        <v>82</v>
      </c>
      <c r="D1165" t="s">
        <v>181</v>
      </c>
      <c r="E1165" t="s">
        <v>146</v>
      </c>
      <c r="F1165" t="s">
        <v>1146</v>
      </c>
      <c r="G1165" t="s">
        <v>799</v>
      </c>
      <c r="H1165" t="s">
        <v>3489</v>
      </c>
      <c r="I1165" t="s">
        <v>3890</v>
      </c>
      <c r="J1165" t="s">
        <v>4234</v>
      </c>
      <c r="K1165">
        <v>11105</v>
      </c>
      <c r="L1165" t="s">
        <v>4276</v>
      </c>
      <c r="M1165" t="s">
        <v>4277</v>
      </c>
      <c r="O1165" t="s">
        <v>4282</v>
      </c>
      <c r="Q1165" t="s">
        <v>4698</v>
      </c>
      <c r="R1165" t="s">
        <v>5753</v>
      </c>
      <c r="S1165" t="s">
        <v>5759</v>
      </c>
      <c r="T1165" t="s">
        <v>4276</v>
      </c>
      <c r="V1165" t="s">
        <v>5767</v>
      </c>
      <c r="Y1165">
        <v>1277</v>
      </c>
      <c r="Z1165" t="s">
        <v>5803</v>
      </c>
      <c r="AA1165" t="s">
        <v>5811</v>
      </c>
      <c r="AB1165" t="s">
        <v>5821</v>
      </c>
      <c r="AC1165" t="s">
        <v>6894</v>
      </c>
      <c r="AE1165" t="s">
        <v>8877</v>
      </c>
      <c r="AF1165">
        <v>7</v>
      </c>
      <c r="AG1165" t="s">
        <v>9272</v>
      </c>
      <c r="AH1165" t="s">
        <v>4280</v>
      </c>
      <c r="AI1165">
        <v>15</v>
      </c>
      <c r="AJ1165">
        <v>1</v>
      </c>
      <c r="AK1165">
        <v>0</v>
      </c>
      <c r="AL1165">
        <v>329.49</v>
      </c>
      <c r="AO1165" t="s">
        <v>1425</v>
      </c>
      <c r="AP1165">
        <v>40000</v>
      </c>
      <c r="AV1165">
        <v>0.85</v>
      </c>
      <c r="AW1165" t="s">
        <v>74</v>
      </c>
    </row>
    <row r="1166" spans="1:49">
      <c r="A1166" s="1">
        <f>HYPERLINK("https://cms.ls-nyc.org/matter/dynamic-profile/view/1899062","19-1899062")</f>
        <v>0</v>
      </c>
      <c r="B1166" t="s">
        <v>74</v>
      </c>
      <c r="C1166" t="s">
        <v>82</v>
      </c>
      <c r="D1166" t="s">
        <v>270</v>
      </c>
      <c r="E1166" t="s">
        <v>161</v>
      </c>
      <c r="F1166" t="s">
        <v>609</v>
      </c>
      <c r="G1166" t="s">
        <v>2220</v>
      </c>
      <c r="H1166" t="s">
        <v>3490</v>
      </c>
      <c r="I1166" t="s">
        <v>4142</v>
      </c>
      <c r="J1166" t="s">
        <v>4251</v>
      </c>
      <c r="K1166">
        <v>11377</v>
      </c>
      <c r="L1166" t="s">
        <v>4275</v>
      </c>
      <c r="M1166" t="s">
        <v>4277</v>
      </c>
      <c r="N1166" t="s">
        <v>4278</v>
      </c>
      <c r="O1166" t="s">
        <v>4284</v>
      </c>
      <c r="P1166" t="s">
        <v>5323</v>
      </c>
      <c r="Q1166" t="s">
        <v>5732</v>
      </c>
      <c r="R1166" t="s">
        <v>5754</v>
      </c>
      <c r="S1166" t="s">
        <v>5763</v>
      </c>
      <c r="T1166" t="s">
        <v>4276</v>
      </c>
      <c r="V1166" t="s">
        <v>5767</v>
      </c>
      <c r="X1166" t="s">
        <v>270</v>
      </c>
      <c r="Y1166">
        <v>300</v>
      </c>
      <c r="Z1166" t="s">
        <v>5803</v>
      </c>
      <c r="AA1166" t="s">
        <v>5815</v>
      </c>
      <c r="AB1166" t="s">
        <v>5821</v>
      </c>
      <c r="AC1166" t="s">
        <v>6895</v>
      </c>
      <c r="AE1166" t="s">
        <v>8878</v>
      </c>
      <c r="AF1166">
        <v>4</v>
      </c>
      <c r="AH1166" t="s">
        <v>4280</v>
      </c>
      <c r="AI1166">
        <v>1</v>
      </c>
      <c r="AJ1166">
        <v>1</v>
      </c>
      <c r="AK1166">
        <v>0</v>
      </c>
      <c r="AL1166">
        <v>400.32</v>
      </c>
      <c r="AM1166" t="s">
        <v>9291</v>
      </c>
      <c r="AN1166" t="s">
        <v>9295</v>
      </c>
      <c r="AP1166">
        <v>50000</v>
      </c>
      <c r="AV1166">
        <v>2.5</v>
      </c>
      <c r="AW1166" t="s">
        <v>74</v>
      </c>
    </row>
    <row r="1167" spans="1:49">
      <c r="A1167" s="1">
        <f>HYPERLINK("https://cms.ls-nyc.org/matter/dynamic-profile/view/1878922","18-1878922")</f>
        <v>0</v>
      </c>
      <c r="B1167" t="s">
        <v>74</v>
      </c>
      <c r="C1167" t="s">
        <v>82</v>
      </c>
      <c r="D1167" t="s">
        <v>279</v>
      </c>
      <c r="E1167" t="s">
        <v>243</v>
      </c>
      <c r="F1167" t="s">
        <v>1147</v>
      </c>
      <c r="G1167" t="s">
        <v>2221</v>
      </c>
      <c r="H1167" t="s">
        <v>2888</v>
      </c>
      <c r="I1167" t="s">
        <v>4143</v>
      </c>
      <c r="J1167" t="s">
        <v>4247</v>
      </c>
      <c r="K1167">
        <v>11415</v>
      </c>
      <c r="L1167" t="s">
        <v>4275</v>
      </c>
      <c r="M1167" t="s">
        <v>4275</v>
      </c>
      <c r="O1167" t="s">
        <v>4282</v>
      </c>
      <c r="P1167" t="s">
        <v>4700</v>
      </c>
      <c r="Q1167" t="s">
        <v>4698</v>
      </c>
      <c r="R1167" t="s">
        <v>5753</v>
      </c>
      <c r="S1167" t="s">
        <v>5759</v>
      </c>
      <c r="T1167" t="s">
        <v>4276</v>
      </c>
      <c r="V1167" t="s">
        <v>5767</v>
      </c>
      <c r="X1167" t="s">
        <v>279</v>
      </c>
      <c r="Y1167">
        <v>1225</v>
      </c>
      <c r="Z1167" t="s">
        <v>5803</v>
      </c>
      <c r="AA1167" t="s">
        <v>5811</v>
      </c>
      <c r="AB1167" t="s">
        <v>5821</v>
      </c>
      <c r="AC1167" t="s">
        <v>6896</v>
      </c>
      <c r="AE1167" t="s">
        <v>7289</v>
      </c>
      <c r="AF1167">
        <v>80</v>
      </c>
      <c r="AG1167" t="s">
        <v>9272</v>
      </c>
      <c r="AH1167" t="s">
        <v>9287</v>
      </c>
      <c r="AI1167">
        <v>18</v>
      </c>
      <c r="AJ1167">
        <v>2</v>
      </c>
      <c r="AK1167">
        <v>0</v>
      </c>
      <c r="AL1167">
        <v>522.48</v>
      </c>
      <c r="AP1167">
        <v>86000</v>
      </c>
      <c r="AV1167">
        <v>1</v>
      </c>
      <c r="AW1167" t="s">
        <v>74</v>
      </c>
    </row>
    <row r="1168" spans="1:49">
      <c r="A1168" s="1">
        <f>HYPERLINK("https://cms.ls-nyc.org/matter/dynamic-profile/view/1875224","18-1875224")</f>
        <v>0</v>
      </c>
      <c r="B1168" t="s">
        <v>74</v>
      </c>
      <c r="C1168" t="s">
        <v>82</v>
      </c>
      <c r="D1168" t="s">
        <v>177</v>
      </c>
      <c r="E1168" t="s">
        <v>215</v>
      </c>
      <c r="F1168" t="s">
        <v>1148</v>
      </c>
      <c r="G1168" t="s">
        <v>2222</v>
      </c>
      <c r="H1168" t="s">
        <v>3491</v>
      </c>
      <c r="I1168">
        <v>1704</v>
      </c>
      <c r="J1168" t="s">
        <v>4230</v>
      </c>
      <c r="K1168">
        <v>11101</v>
      </c>
      <c r="L1168" t="s">
        <v>4275</v>
      </c>
      <c r="M1168" t="s">
        <v>4275</v>
      </c>
      <c r="O1168" t="s">
        <v>4284</v>
      </c>
      <c r="P1168" t="s">
        <v>4700</v>
      </c>
      <c r="Q1168" t="s">
        <v>4698</v>
      </c>
      <c r="R1168" t="s">
        <v>5753</v>
      </c>
      <c r="S1168" t="s">
        <v>5759</v>
      </c>
      <c r="T1168" t="s">
        <v>4276</v>
      </c>
      <c r="V1168" t="s">
        <v>5770</v>
      </c>
      <c r="W1168" t="s">
        <v>5772</v>
      </c>
      <c r="X1168" t="s">
        <v>177</v>
      </c>
      <c r="Y1168">
        <v>3000</v>
      </c>
      <c r="Z1168" t="s">
        <v>5803</v>
      </c>
      <c r="AA1168" t="s">
        <v>5815</v>
      </c>
      <c r="AB1168" t="s">
        <v>5821</v>
      </c>
      <c r="AC1168" t="s">
        <v>6897</v>
      </c>
      <c r="AE1168" t="s">
        <v>8879</v>
      </c>
      <c r="AF1168">
        <v>60</v>
      </c>
      <c r="AG1168" t="s">
        <v>9272</v>
      </c>
      <c r="AH1168" t="s">
        <v>4280</v>
      </c>
      <c r="AI1168">
        <v>5</v>
      </c>
      <c r="AJ1168">
        <v>1</v>
      </c>
      <c r="AK1168">
        <v>0</v>
      </c>
      <c r="AL1168">
        <v>576.61</v>
      </c>
      <c r="AM1168" t="s">
        <v>9291</v>
      </c>
      <c r="AN1168" t="s">
        <v>9295</v>
      </c>
      <c r="AO1168" t="s">
        <v>1425</v>
      </c>
      <c r="AP1168">
        <v>70000</v>
      </c>
      <c r="AV1168">
        <v>2.05</v>
      </c>
      <c r="AW1168" t="s">
        <v>74</v>
      </c>
    </row>
    <row r="1169" spans="1:49">
      <c r="A1169" s="1">
        <f>HYPERLINK("https://cms.ls-nyc.org/matter/dynamic-profile/view/1873376","18-1873376")</f>
        <v>0</v>
      </c>
      <c r="B1169" t="s">
        <v>74</v>
      </c>
      <c r="C1169" t="s">
        <v>82</v>
      </c>
      <c r="D1169" t="s">
        <v>153</v>
      </c>
      <c r="E1169" t="s">
        <v>282</v>
      </c>
      <c r="F1169" t="s">
        <v>1149</v>
      </c>
      <c r="G1169" t="s">
        <v>1389</v>
      </c>
      <c r="H1169" t="s">
        <v>3492</v>
      </c>
      <c r="I1169" t="s">
        <v>4144</v>
      </c>
      <c r="J1169" t="s">
        <v>4267</v>
      </c>
      <c r="K1169">
        <v>11372</v>
      </c>
      <c r="L1169" t="s">
        <v>4275</v>
      </c>
      <c r="M1169" t="s">
        <v>4277</v>
      </c>
      <c r="O1169" t="s">
        <v>4282</v>
      </c>
      <c r="P1169" t="s">
        <v>5324</v>
      </c>
      <c r="Q1169" t="s">
        <v>5732</v>
      </c>
      <c r="R1169" t="s">
        <v>5753</v>
      </c>
      <c r="S1169" t="s">
        <v>5759</v>
      </c>
      <c r="T1169" t="s">
        <v>4276</v>
      </c>
      <c r="V1169" t="s">
        <v>5767</v>
      </c>
      <c r="Y1169">
        <v>680</v>
      </c>
      <c r="Z1169" t="s">
        <v>5803</v>
      </c>
      <c r="AA1169" t="s">
        <v>5804</v>
      </c>
      <c r="AB1169" t="s">
        <v>5821</v>
      </c>
      <c r="AC1169" t="s">
        <v>6898</v>
      </c>
      <c r="AE1169" t="s">
        <v>8880</v>
      </c>
      <c r="AF1169">
        <v>2</v>
      </c>
      <c r="AG1169" t="s">
        <v>9269</v>
      </c>
      <c r="AH1169" t="s">
        <v>4280</v>
      </c>
      <c r="AI1169">
        <v>5</v>
      </c>
      <c r="AJ1169">
        <v>0</v>
      </c>
      <c r="AK1169">
        <v>0</v>
      </c>
      <c r="AL1169">
        <v>0</v>
      </c>
      <c r="AO1169" t="s">
        <v>1425</v>
      </c>
      <c r="AP1169">
        <v>0</v>
      </c>
      <c r="AV1169">
        <v>0.5</v>
      </c>
      <c r="AW1169" t="s">
        <v>74</v>
      </c>
    </row>
    <row r="1170" spans="1:49">
      <c r="A1170" s="1">
        <f>HYPERLINK("https://cms.ls-nyc.org/matter/dynamic-profile/view/1872513","18-1872513")</f>
        <v>0</v>
      </c>
      <c r="B1170" t="s">
        <v>75</v>
      </c>
      <c r="C1170" t="s">
        <v>82</v>
      </c>
      <c r="D1170" t="s">
        <v>143</v>
      </c>
      <c r="E1170" t="s">
        <v>122</v>
      </c>
      <c r="F1170" t="s">
        <v>1150</v>
      </c>
      <c r="G1170" t="s">
        <v>1438</v>
      </c>
      <c r="H1170" t="s">
        <v>3493</v>
      </c>
      <c r="I1170">
        <v>2</v>
      </c>
      <c r="J1170" t="s">
        <v>4243</v>
      </c>
      <c r="K1170">
        <v>11691</v>
      </c>
      <c r="L1170" t="s">
        <v>4275</v>
      </c>
      <c r="M1170" t="s">
        <v>4275</v>
      </c>
      <c r="O1170" t="s">
        <v>4283</v>
      </c>
      <c r="P1170" t="s">
        <v>5325</v>
      </c>
      <c r="Q1170" t="s">
        <v>5732</v>
      </c>
      <c r="R1170" t="s">
        <v>5751</v>
      </c>
      <c r="S1170" t="s">
        <v>5762</v>
      </c>
      <c r="T1170" t="s">
        <v>4276</v>
      </c>
      <c r="V1170" t="s">
        <v>5767</v>
      </c>
      <c r="W1170" t="s">
        <v>5772</v>
      </c>
      <c r="X1170" t="s">
        <v>122</v>
      </c>
      <c r="Y1170">
        <v>1230</v>
      </c>
      <c r="Z1170" t="s">
        <v>5803</v>
      </c>
      <c r="AA1170" t="s">
        <v>5804</v>
      </c>
      <c r="AB1170" t="s">
        <v>5824</v>
      </c>
      <c r="AC1170" t="s">
        <v>6899</v>
      </c>
      <c r="AD1170" t="s">
        <v>7709</v>
      </c>
      <c r="AE1170" t="s">
        <v>8881</v>
      </c>
      <c r="AF1170">
        <v>2</v>
      </c>
      <c r="AG1170" t="s">
        <v>9269</v>
      </c>
      <c r="AH1170" t="s">
        <v>9282</v>
      </c>
      <c r="AI1170">
        <v>9</v>
      </c>
      <c r="AJ1170">
        <v>2</v>
      </c>
      <c r="AK1170">
        <v>3</v>
      </c>
      <c r="AL1170">
        <v>0</v>
      </c>
      <c r="AO1170" t="s">
        <v>1425</v>
      </c>
      <c r="AP1170">
        <v>0</v>
      </c>
      <c r="AR1170" t="s">
        <v>9327</v>
      </c>
      <c r="AS1170" t="s">
        <v>9336</v>
      </c>
      <c r="AT1170" t="s">
        <v>9370</v>
      </c>
      <c r="AU1170" t="s">
        <v>9467</v>
      </c>
      <c r="AV1170">
        <v>10.3</v>
      </c>
      <c r="AW1170" t="s">
        <v>73</v>
      </c>
    </row>
    <row r="1171" spans="1:49">
      <c r="A1171" s="1">
        <f>HYPERLINK("https://cms.ls-nyc.org/matter/dynamic-profile/view/1882891","18-1882891")</f>
        <v>0</v>
      </c>
      <c r="B1171" t="s">
        <v>75</v>
      </c>
      <c r="C1171" t="s">
        <v>82</v>
      </c>
      <c r="D1171" t="s">
        <v>280</v>
      </c>
      <c r="E1171" t="s">
        <v>190</v>
      </c>
      <c r="F1171" t="s">
        <v>1151</v>
      </c>
      <c r="G1171" t="s">
        <v>2223</v>
      </c>
      <c r="H1171" t="s">
        <v>3494</v>
      </c>
      <c r="I1171" t="s">
        <v>3905</v>
      </c>
      <c r="J1171" t="s">
        <v>4243</v>
      </c>
      <c r="K1171">
        <v>11691</v>
      </c>
      <c r="L1171" t="s">
        <v>4275</v>
      </c>
      <c r="M1171" t="s">
        <v>4275</v>
      </c>
      <c r="O1171" t="s">
        <v>4283</v>
      </c>
      <c r="P1171" t="s">
        <v>5326</v>
      </c>
      <c r="Q1171" t="s">
        <v>5734</v>
      </c>
      <c r="R1171" t="s">
        <v>5751</v>
      </c>
      <c r="S1171" t="s">
        <v>5758</v>
      </c>
      <c r="T1171" t="s">
        <v>4276</v>
      </c>
      <c r="V1171" t="s">
        <v>5767</v>
      </c>
      <c r="W1171" t="s">
        <v>5772</v>
      </c>
      <c r="X1171" t="s">
        <v>280</v>
      </c>
      <c r="Y1171">
        <v>600</v>
      </c>
      <c r="Z1171" t="s">
        <v>5803</v>
      </c>
      <c r="AA1171" t="s">
        <v>5804</v>
      </c>
      <c r="AB1171" t="s">
        <v>5825</v>
      </c>
      <c r="AC1171" t="s">
        <v>6900</v>
      </c>
      <c r="AE1171" t="s">
        <v>8882</v>
      </c>
      <c r="AF1171">
        <v>2</v>
      </c>
      <c r="AG1171" t="s">
        <v>9269</v>
      </c>
      <c r="AH1171" t="s">
        <v>4280</v>
      </c>
      <c r="AI1171">
        <v>1</v>
      </c>
      <c r="AJ1171">
        <v>1</v>
      </c>
      <c r="AK1171">
        <v>1</v>
      </c>
      <c r="AL1171">
        <v>0</v>
      </c>
      <c r="AO1171" t="s">
        <v>1425</v>
      </c>
      <c r="AP1171">
        <v>0</v>
      </c>
      <c r="AR1171" t="s">
        <v>9329</v>
      </c>
      <c r="AS1171" t="s">
        <v>5806</v>
      </c>
      <c r="AT1171" t="s">
        <v>9369</v>
      </c>
      <c r="AU1171" t="s">
        <v>9459</v>
      </c>
      <c r="AV1171">
        <v>5.5</v>
      </c>
      <c r="AW1171" t="s">
        <v>73</v>
      </c>
    </row>
    <row r="1172" spans="1:49">
      <c r="A1172" s="1">
        <f>HYPERLINK("https://cms.ls-nyc.org/matter/dynamic-profile/view/1877453","18-1877453")</f>
        <v>0</v>
      </c>
      <c r="B1172" t="s">
        <v>75</v>
      </c>
      <c r="C1172" t="s">
        <v>82</v>
      </c>
      <c r="D1172" t="s">
        <v>180</v>
      </c>
      <c r="E1172" t="s">
        <v>301</v>
      </c>
      <c r="F1172" t="s">
        <v>1152</v>
      </c>
      <c r="G1172" t="s">
        <v>2224</v>
      </c>
      <c r="H1172" t="s">
        <v>3495</v>
      </c>
      <c r="I1172" t="s">
        <v>4145</v>
      </c>
      <c r="J1172" t="s">
        <v>4222</v>
      </c>
      <c r="K1172">
        <v>11436</v>
      </c>
      <c r="L1172" t="s">
        <v>4275</v>
      </c>
      <c r="M1172" t="s">
        <v>4275</v>
      </c>
      <c r="O1172" t="s">
        <v>4282</v>
      </c>
      <c r="P1172" t="s">
        <v>5327</v>
      </c>
      <c r="Q1172" t="s">
        <v>5731</v>
      </c>
      <c r="R1172" t="s">
        <v>5753</v>
      </c>
      <c r="S1172" t="s">
        <v>5759</v>
      </c>
      <c r="T1172" t="s">
        <v>4276</v>
      </c>
      <c r="V1172" t="s">
        <v>5767</v>
      </c>
      <c r="W1172" t="s">
        <v>5771</v>
      </c>
      <c r="X1172" t="s">
        <v>181</v>
      </c>
      <c r="Y1172">
        <v>2008</v>
      </c>
      <c r="Z1172" t="s">
        <v>5803</v>
      </c>
      <c r="AA1172" t="s">
        <v>5804</v>
      </c>
      <c r="AB1172" t="s">
        <v>5821</v>
      </c>
      <c r="AC1172" t="s">
        <v>6901</v>
      </c>
      <c r="AD1172" t="s">
        <v>7710</v>
      </c>
      <c r="AE1172" t="s">
        <v>8883</v>
      </c>
      <c r="AF1172">
        <v>40</v>
      </c>
      <c r="AG1172" t="s">
        <v>9278</v>
      </c>
      <c r="AH1172" t="s">
        <v>4280</v>
      </c>
      <c r="AI1172">
        <v>2</v>
      </c>
      <c r="AJ1172">
        <v>1</v>
      </c>
      <c r="AK1172">
        <v>2</v>
      </c>
      <c r="AL1172">
        <v>0</v>
      </c>
      <c r="AO1172" t="s">
        <v>1425</v>
      </c>
      <c r="AP1172">
        <v>0</v>
      </c>
      <c r="AV1172">
        <v>1</v>
      </c>
      <c r="AW1172" t="s">
        <v>54</v>
      </c>
    </row>
    <row r="1173" spans="1:49">
      <c r="A1173" s="1">
        <f>HYPERLINK("https://cms.ls-nyc.org/matter/dynamic-profile/view/1875749","18-1875749")</f>
        <v>0</v>
      </c>
      <c r="B1173" t="s">
        <v>75</v>
      </c>
      <c r="C1173" t="s">
        <v>82</v>
      </c>
      <c r="D1173" t="s">
        <v>151</v>
      </c>
      <c r="E1173" t="s">
        <v>144</v>
      </c>
      <c r="F1173" t="s">
        <v>936</v>
      </c>
      <c r="G1173" t="s">
        <v>2225</v>
      </c>
      <c r="H1173" t="s">
        <v>3496</v>
      </c>
      <c r="I1173" t="s">
        <v>3864</v>
      </c>
      <c r="J1173" t="s">
        <v>4222</v>
      </c>
      <c r="K1173">
        <v>11434</v>
      </c>
      <c r="L1173" t="s">
        <v>4275</v>
      </c>
      <c r="M1173" t="s">
        <v>4275</v>
      </c>
      <c r="O1173" t="s">
        <v>4281</v>
      </c>
      <c r="P1173" t="s">
        <v>5328</v>
      </c>
      <c r="Q1173" t="s">
        <v>5731</v>
      </c>
      <c r="R1173" t="s">
        <v>5751</v>
      </c>
      <c r="S1173" t="s">
        <v>5758</v>
      </c>
      <c r="T1173" t="s">
        <v>4276</v>
      </c>
      <c r="V1173" t="s">
        <v>5767</v>
      </c>
      <c r="W1173" t="s">
        <v>5772</v>
      </c>
      <c r="X1173" t="s">
        <v>137</v>
      </c>
      <c r="Y1173">
        <v>1268</v>
      </c>
      <c r="Z1173" t="s">
        <v>5803</v>
      </c>
      <c r="AA1173" t="s">
        <v>5804</v>
      </c>
      <c r="AB1173" t="s">
        <v>5820</v>
      </c>
      <c r="AC1173" t="s">
        <v>6902</v>
      </c>
      <c r="AD1173" t="s">
        <v>7711</v>
      </c>
      <c r="AE1173" t="s">
        <v>8884</v>
      </c>
      <c r="AF1173">
        <v>2</v>
      </c>
      <c r="AG1173" t="s">
        <v>9269</v>
      </c>
      <c r="AH1173" t="s">
        <v>9284</v>
      </c>
      <c r="AI1173">
        <v>1</v>
      </c>
      <c r="AJ1173">
        <v>1</v>
      </c>
      <c r="AK1173">
        <v>1</v>
      </c>
      <c r="AL1173">
        <v>0</v>
      </c>
      <c r="AO1173" t="s">
        <v>1425</v>
      </c>
      <c r="AP1173">
        <v>0</v>
      </c>
      <c r="AR1173" t="s">
        <v>9328</v>
      </c>
      <c r="AS1173" t="s">
        <v>9336</v>
      </c>
      <c r="AT1173" t="s">
        <v>9369</v>
      </c>
      <c r="AU1173" t="s">
        <v>9514</v>
      </c>
      <c r="AV1173">
        <v>35.15</v>
      </c>
      <c r="AW1173" t="s">
        <v>73</v>
      </c>
    </row>
    <row r="1174" spans="1:49">
      <c r="A1174" s="1">
        <f>HYPERLINK("https://cms.ls-nyc.org/matter/dynamic-profile/view/1877493","18-1877493")</f>
        <v>0</v>
      </c>
      <c r="B1174" t="s">
        <v>75</v>
      </c>
      <c r="C1174" t="s">
        <v>82</v>
      </c>
      <c r="D1174" t="s">
        <v>180</v>
      </c>
      <c r="E1174" t="s">
        <v>301</v>
      </c>
      <c r="F1174" t="s">
        <v>358</v>
      </c>
      <c r="G1174" t="s">
        <v>1522</v>
      </c>
      <c r="H1174" t="s">
        <v>3497</v>
      </c>
      <c r="I1174" t="s">
        <v>4144</v>
      </c>
      <c r="J1174" t="s">
        <v>4245</v>
      </c>
      <c r="K1174">
        <v>11418</v>
      </c>
      <c r="L1174" t="s">
        <v>4275</v>
      </c>
      <c r="M1174" t="s">
        <v>4275</v>
      </c>
      <c r="O1174" t="s">
        <v>4282</v>
      </c>
      <c r="P1174" t="s">
        <v>5329</v>
      </c>
      <c r="Q1174" t="s">
        <v>5732</v>
      </c>
      <c r="R1174" t="s">
        <v>5753</v>
      </c>
      <c r="S1174" t="s">
        <v>5759</v>
      </c>
      <c r="T1174" t="s">
        <v>4276</v>
      </c>
      <c r="V1174" t="s">
        <v>5767</v>
      </c>
      <c r="W1174" t="s">
        <v>5772</v>
      </c>
      <c r="X1174" t="s">
        <v>180</v>
      </c>
      <c r="Y1174">
        <v>700</v>
      </c>
      <c r="Z1174" t="s">
        <v>5803</v>
      </c>
      <c r="AA1174" t="s">
        <v>5804</v>
      </c>
      <c r="AB1174" t="s">
        <v>5821</v>
      </c>
      <c r="AC1174" t="s">
        <v>6903</v>
      </c>
      <c r="AD1174" t="s">
        <v>7712</v>
      </c>
      <c r="AE1174" t="s">
        <v>8885</v>
      </c>
      <c r="AF1174">
        <v>1</v>
      </c>
      <c r="AG1174" t="s">
        <v>9269</v>
      </c>
      <c r="AH1174" t="s">
        <v>4280</v>
      </c>
      <c r="AI1174">
        <v>1</v>
      </c>
      <c r="AJ1174">
        <v>1</v>
      </c>
      <c r="AK1174">
        <v>0</v>
      </c>
      <c r="AL1174">
        <v>0</v>
      </c>
      <c r="AO1174" t="s">
        <v>1425</v>
      </c>
      <c r="AP1174">
        <v>0</v>
      </c>
      <c r="AV1174">
        <v>1</v>
      </c>
      <c r="AW1174" t="s">
        <v>54</v>
      </c>
    </row>
    <row r="1175" spans="1:49">
      <c r="A1175" s="1">
        <f>HYPERLINK("https://cms.ls-nyc.org/matter/dynamic-profile/view/1886042","18-1886042")</f>
        <v>0</v>
      </c>
      <c r="B1175" t="s">
        <v>75</v>
      </c>
      <c r="C1175" t="s">
        <v>82</v>
      </c>
      <c r="D1175" t="s">
        <v>191</v>
      </c>
      <c r="E1175" t="s">
        <v>282</v>
      </c>
      <c r="F1175" t="s">
        <v>1153</v>
      </c>
      <c r="G1175" t="s">
        <v>1767</v>
      </c>
      <c r="H1175" t="s">
        <v>3498</v>
      </c>
      <c r="I1175" t="s">
        <v>3880</v>
      </c>
      <c r="J1175" t="s">
        <v>4255</v>
      </c>
      <c r="K1175">
        <v>11372</v>
      </c>
      <c r="L1175" t="s">
        <v>4275</v>
      </c>
      <c r="M1175" t="s">
        <v>4275</v>
      </c>
      <c r="O1175" t="s">
        <v>4282</v>
      </c>
      <c r="P1175" t="s">
        <v>5330</v>
      </c>
      <c r="Q1175" t="s">
        <v>5731</v>
      </c>
      <c r="R1175" t="s">
        <v>5753</v>
      </c>
      <c r="S1175" t="s">
        <v>5759</v>
      </c>
      <c r="T1175" t="s">
        <v>4276</v>
      </c>
      <c r="V1175" t="s">
        <v>5767</v>
      </c>
      <c r="W1175" t="s">
        <v>5773</v>
      </c>
      <c r="X1175" t="s">
        <v>191</v>
      </c>
      <c r="Y1175">
        <v>1700</v>
      </c>
      <c r="Z1175" t="s">
        <v>5803</v>
      </c>
      <c r="AA1175" t="s">
        <v>5804</v>
      </c>
      <c r="AB1175" t="s">
        <v>5821</v>
      </c>
      <c r="AC1175" t="s">
        <v>6904</v>
      </c>
      <c r="AD1175" t="s">
        <v>7713</v>
      </c>
      <c r="AF1175">
        <v>16</v>
      </c>
      <c r="AG1175" t="s">
        <v>9272</v>
      </c>
      <c r="AH1175" t="s">
        <v>4280</v>
      </c>
      <c r="AI1175">
        <v>4</v>
      </c>
      <c r="AJ1175">
        <v>1</v>
      </c>
      <c r="AK1175">
        <v>2</v>
      </c>
      <c r="AL1175">
        <v>7.51</v>
      </c>
      <c r="AO1175" t="s">
        <v>9298</v>
      </c>
      <c r="AP1175">
        <v>1560</v>
      </c>
      <c r="AV1175">
        <v>1</v>
      </c>
      <c r="AW1175" t="s">
        <v>73</v>
      </c>
    </row>
    <row r="1176" spans="1:49">
      <c r="A1176" s="1">
        <f>HYPERLINK("https://cms.ls-nyc.org/matter/dynamic-profile/view/1885991","18-1885991")</f>
        <v>0</v>
      </c>
      <c r="B1176" t="s">
        <v>75</v>
      </c>
      <c r="C1176" t="s">
        <v>82</v>
      </c>
      <c r="D1176" t="s">
        <v>191</v>
      </c>
      <c r="E1176" t="s">
        <v>281</v>
      </c>
      <c r="F1176" t="s">
        <v>1154</v>
      </c>
      <c r="G1176" t="s">
        <v>2226</v>
      </c>
      <c r="H1176" t="s">
        <v>3499</v>
      </c>
      <c r="I1176">
        <v>12</v>
      </c>
      <c r="J1176" t="s">
        <v>4234</v>
      </c>
      <c r="K1176">
        <v>11102</v>
      </c>
      <c r="L1176" t="s">
        <v>4275</v>
      </c>
      <c r="M1176" t="s">
        <v>4275</v>
      </c>
      <c r="O1176" t="s">
        <v>4282</v>
      </c>
      <c r="P1176" t="s">
        <v>5331</v>
      </c>
      <c r="Q1176" t="s">
        <v>5731</v>
      </c>
      <c r="R1176" t="s">
        <v>5753</v>
      </c>
      <c r="S1176" t="s">
        <v>5759</v>
      </c>
      <c r="T1176" t="s">
        <v>4276</v>
      </c>
      <c r="V1176" t="s">
        <v>5767</v>
      </c>
      <c r="W1176" t="s">
        <v>5774</v>
      </c>
      <c r="X1176" t="s">
        <v>191</v>
      </c>
      <c r="Y1176">
        <v>1785</v>
      </c>
      <c r="Z1176" t="s">
        <v>5803</v>
      </c>
      <c r="AA1176" t="s">
        <v>5804</v>
      </c>
      <c r="AB1176" t="s">
        <v>5821</v>
      </c>
      <c r="AC1176" t="s">
        <v>6905</v>
      </c>
      <c r="AD1176" t="s">
        <v>7714</v>
      </c>
      <c r="AE1176" t="s">
        <v>8886</v>
      </c>
      <c r="AF1176">
        <v>12</v>
      </c>
      <c r="AG1176" t="s">
        <v>9272</v>
      </c>
      <c r="AH1176" t="s">
        <v>4280</v>
      </c>
      <c r="AI1176">
        <v>1</v>
      </c>
      <c r="AJ1176">
        <v>1</v>
      </c>
      <c r="AK1176">
        <v>0</v>
      </c>
      <c r="AL1176">
        <v>12.85</v>
      </c>
      <c r="AO1176" t="s">
        <v>1425</v>
      </c>
      <c r="AP1176">
        <v>1560</v>
      </c>
      <c r="AV1176">
        <v>1.5</v>
      </c>
      <c r="AW1176" t="s">
        <v>74</v>
      </c>
    </row>
    <row r="1177" spans="1:49">
      <c r="A1177" s="1">
        <f>HYPERLINK("https://cms.ls-nyc.org/matter/dynamic-profile/view/1873728","18-1873728")</f>
        <v>0</v>
      </c>
      <c r="B1177" t="s">
        <v>75</v>
      </c>
      <c r="C1177" t="s">
        <v>82</v>
      </c>
      <c r="D1177" t="s">
        <v>112</v>
      </c>
      <c r="E1177" t="s">
        <v>312</v>
      </c>
      <c r="F1177" t="s">
        <v>381</v>
      </c>
      <c r="G1177" t="s">
        <v>2227</v>
      </c>
      <c r="H1177" t="s">
        <v>3500</v>
      </c>
      <c r="I1177" t="s">
        <v>3845</v>
      </c>
      <c r="J1177" t="s">
        <v>4240</v>
      </c>
      <c r="K1177">
        <v>11373</v>
      </c>
      <c r="L1177" t="s">
        <v>4275</v>
      </c>
      <c r="M1177" t="s">
        <v>4275</v>
      </c>
      <c r="O1177" t="s">
        <v>4281</v>
      </c>
      <c r="P1177" t="s">
        <v>5332</v>
      </c>
      <c r="Q1177" t="s">
        <v>5731</v>
      </c>
      <c r="R1177" t="s">
        <v>5753</v>
      </c>
      <c r="S1177" t="s">
        <v>5759</v>
      </c>
      <c r="T1177" t="s">
        <v>4276</v>
      </c>
      <c r="V1177" t="s">
        <v>5767</v>
      </c>
      <c r="W1177" t="s">
        <v>5771</v>
      </c>
      <c r="X1177" t="s">
        <v>112</v>
      </c>
      <c r="Y1177">
        <v>1582</v>
      </c>
      <c r="Z1177" t="s">
        <v>5803</v>
      </c>
      <c r="AA1177" t="s">
        <v>5804</v>
      </c>
      <c r="AB1177" t="s">
        <v>5821</v>
      </c>
      <c r="AC1177" t="s">
        <v>6906</v>
      </c>
      <c r="AD1177" t="s">
        <v>7715</v>
      </c>
      <c r="AE1177" t="s">
        <v>8887</v>
      </c>
      <c r="AF1177">
        <v>66</v>
      </c>
      <c r="AG1177" t="s">
        <v>9272</v>
      </c>
      <c r="AH1177" t="s">
        <v>4280</v>
      </c>
      <c r="AI1177">
        <v>14</v>
      </c>
      <c r="AJ1177">
        <v>3</v>
      </c>
      <c r="AK1177">
        <v>2</v>
      </c>
      <c r="AL1177">
        <v>19.88</v>
      </c>
      <c r="AN1177" t="s">
        <v>9294</v>
      </c>
      <c r="AO1177" t="s">
        <v>9298</v>
      </c>
      <c r="AP1177">
        <v>5850</v>
      </c>
      <c r="AV1177">
        <v>4.91</v>
      </c>
      <c r="AW1177" t="s">
        <v>54</v>
      </c>
    </row>
    <row r="1178" spans="1:49">
      <c r="A1178" s="1">
        <f>HYPERLINK("https://cms.ls-nyc.org/matter/dynamic-profile/view/1879340","18-1879340")</f>
        <v>0</v>
      </c>
      <c r="B1178" t="s">
        <v>75</v>
      </c>
      <c r="C1178" t="s">
        <v>82</v>
      </c>
      <c r="D1178" t="s">
        <v>220</v>
      </c>
      <c r="E1178" t="s">
        <v>301</v>
      </c>
      <c r="F1178" t="s">
        <v>1118</v>
      </c>
      <c r="G1178" t="s">
        <v>2228</v>
      </c>
      <c r="H1178" t="s">
        <v>3136</v>
      </c>
      <c r="I1178" t="s">
        <v>4001</v>
      </c>
      <c r="J1178" t="s">
        <v>4243</v>
      </c>
      <c r="K1178">
        <v>11691</v>
      </c>
      <c r="L1178" t="s">
        <v>4275</v>
      </c>
      <c r="M1178" t="s">
        <v>4275</v>
      </c>
      <c r="O1178" t="s">
        <v>4283</v>
      </c>
      <c r="P1178" t="s">
        <v>5333</v>
      </c>
      <c r="Q1178" t="s">
        <v>5731</v>
      </c>
      <c r="R1178" t="s">
        <v>5753</v>
      </c>
      <c r="S1178" t="s">
        <v>5759</v>
      </c>
      <c r="T1178" t="s">
        <v>4276</v>
      </c>
      <c r="V1178" t="s">
        <v>5767</v>
      </c>
      <c r="W1178" t="s">
        <v>5772</v>
      </c>
      <c r="X1178" t="s">
        <v>220</v>
      </c>
      <c r="Y1178">
        <v>1515</v>
      </c>
      <c r="Z1178" t="s">
        <v>5803</v>
      </c>
      <c r="AA1178" t="s">
        <v>5804</v>
      </c>
      <c r="AB1178" t="s">
        <v>5821</v>
      </c>
      <c r="AC1178" t="s">
        <v>6907</v>
      </c>
      <c r="AD1178" t="s">
        <v>7716</v>
      </c>
      <c r="AE1178" t="s">
        <v>8888</v>
      </c>
      <c r="AF1178">
        <v>26</v>
      </c>
      <c r="AG1178" t="s">
        <v>9272</v>
      </c>
      <c r="AH1178" t="s">
        <v>9286</v>
      </c>
      <c r="AI1178">
        <v>1</v>
      </c>
      <c r="AJ1178">
        <v>1</v>
      </c>
      <c r="AK1178">
        <v>3</v>
      </c>
      <c r="AL1178">
        <v>20.1</v>
      </c>
      <c r="AO1178" t="s">
        <v>1425</v>
      </c>
      <c r="AP1178">
        <v>5044</v>
      </c>
      <c r="AV1178">
        <v>0.75</v>
      </c>
      <c r="AW1178" t="s">
        <v>73</v>
      </c>
    </row>
    <row r="1179" spans="1:49">
      <c r="A1179" s="1">
        <f>HYPERLINK("https://cms.ls-nyc.org/matter/dynamic-profile/view/1871557","18-1871557")</f>
        <v>0</v>
      </c>
      <c r="B1179" t="s">
        <v>75</v>
      </c>
      <c r="C1179" t="s">
        <v>82</v>
      </c>
      <c r="D1179" t="s">
        <v>102</v>
      </c>
      <c r="E1179" t="s">
        <v>301</v>
      </c>
      <c r="F1179" t="s">
        <v>1155</v>
      </c>
      <c r="G1179" t="s">
        <v>1588</v>
      </c>
      <c r="H1179" t="s">
        <v>3501</v>
      </c>
      <c r="I1179" t="s">
        <v>3950</v>
      </c>
      <c r="J1179" t="s">
        <v>4222</v>
      </c>
      <c r="K1179">
        <v>11435</v>
      </c>
      <c r="L1179" t="s">
        <v>4275</v>
      </c>
      <c r="M1179" t="s">
        <v>4275</v>
      </c>
      <c r="O1179" t="s">
        <v>4282</v>
      </c>
      <c r="P1179" t="s">
        <v>5334</v>
      </c>
      <c r="Q1179" t="s">
        <v>5732</v>
      </c>
      <c r="R1179" t="s">
        <v>5753</v>
      </c>
      <c r="S1179" t="s">
        <v>5759</v>
      </c>
      <c r="T1179" t="s">
        <v>4276</v>
      </c>
      <c r="V1179" t="s">
        <v>5767</v>
      </c>
      <c r="W1179" t="s">
        <v>5772</v>
      </c>
      <c r="X1179" t="s">
        <v>272</v>
      </c>
      <c r="Y1179">
        <v>0</v>
      </c>
      <c r="Z1179" t="s">
        <v>5803</v>
      </c>
      <c r="AA1179" t="s">
        <v>5804</v>
      </c>
      <c r="AB1179" t="s">
        <v>5821</v>
      </c>
      <c r="AC1179" t="s">
        <v>6908</v>
      </c>
      <c r="AD1179" t="s">
        <v>4280</v>
      </c>
      <c r="AE1179" t="s">
        <v>8889</v>
      </c>
      <c r="AF1179">
        <v>1</v>
      </c>
      <c r="AG1179" t="s">
        <v>9269</v>
      </c>
      <c r="AH1179" t="s">
        <v>4280</v>
      </c>
      <c r="AI1179">
        <v>1</v>
      </c>
      <c r="AJ1179">
        <v>3</v>
      </c>
      <c r="AK1179">
        <v>3</v>
      </c>
      <c r="AL1179">
        <v>21.34</v>
      </c>
      <c r="AO1179" t="s">
        <v>1425</v>
      </c>
      <c r="AP1179">
        <v>7200</v>
      </c>
      <c r="AV1179">
        <v>0.7</v>
      </c>
      <c r="AW1179" t="s">
        <v>54</v>
      </c>
    </row>
    <row r="1180" spans="1:49">
      <c r="A1180" s="1">
        <f>HYPERLINK("https://cms.ls-nyc.org/matter/dynamic-profile/view/1877988","18-1877988")</f>
        <v>0</v>
      </c>
      <c r="B1180" t="s">
        <v>75</v>
      </c>
      <c r="C1180" t="s">
        <v>82</v>
      </c>
      <c r="D1180" t="s">
        <v>126</v>
      </c>
      <c r="E1180" t="s">
        <v>174</v>
      </c>
      <c r="F1180" t="s">
        <v>1156</v>
      </c>
      <c r="G1180" t="s">
        <v>2229</v>
      </c>
      <c r="H1180" t="s">
        <v>3502</v>
      </c>
      <c r="I1180" t="s">
        <v>4146</v>
      </c>
      <c r="J1180" t="s">
        <v>4222</v>
      </c>
      <c r="K1180">
        <v>11434</v>
      </c>
      <c r="L1180" t="s">
        <v>4275</v>
      </c>
      <c r="M1180" t="s">
        <v>4275</v>
      </c>
      <c r="O1180" t="s">
        <v>4281</v>
      </c>
      <c r="P1180" t="s">
        <v>5335</v>
      </c>
      <c r="Q1180" t="s">
        <v>5734</v>
      </c>
      <c r="R1180" t="s">
        <v>5751</v>
      </c>
      <c r="S1180" t="s">
        <v>5764</v>
      </c>
      <c r="T1180" t="s">
        <v>4276</v>
      </c>
      <c r="V1180" t="s">
        <v>5767</v>
      </c>
      <c r="W1180" t="s">
        <v>5772</v>
      </c>
      <c r="X1180" t="s">
        <v>126</v>
      </c>
      <c r="Y1180">
        <v>1389</v>
      </c>
      <c r="Z1180" t="s">
        <v>5803</v>
      </c>
      <c r="AA1180" t="s">
        <v>5804</v>
      </c>
      <c r="AB1180" t="s">
        <v>5825</v>
      </c>
      <c r="AC1180" t="s">
        <v>6909</v>
      </c>
      <c r="AD1180" t="s">
        <v>7717</v>
      </c>
      <c r="AE1180" t="s">
        <v>8890</v>
      </c>
      <c r="AF1180">
        <v>1</v>
      </c>
      <c r="AG1180" t="s">
        <v>9269</v>
      </c>
      <c r="AH1180" t="s">
        <v>4280</v>
      </c>
      <c r="AI1180">
        <v>12</v>
      </c>
      <c r="AJ1180">
        <v>1</v>
      </c>
      <c r="AK1180">
        <v>1</v>
      </c>
      <c r="AL1180">
        <v>24.42</v>
      </c>
      <c r="AO1180" t="s">
        <v>1425</v>
      </c>
      <c r="AP1180">
        <v>4020</v>
      </c>
      <c r="AR1180" t="s">
        <v>9329</v>
      </c>
      <c r="AS1180" t="s">
        <v>9367</v>
      </c>
      <c r="AT1180" t="s">
        <v>9369</v>
      </c>
      <c r="AU1180" t="s">
        <v>9529</v>
      </c>
      <c r="AV1180">
        <v>5.6</v>
      </c>
      <c r="AW1180" t="s">
        <v>73</v>
      </c>
    </row>
    <row r="1181" spans="1:49">
      <c r="A1181" s="1">
        <f>HYPERLINK("https://cms.ls-nyc.org/matter/dynamic-profile/view/1876575","18-1876575")</f>
        <v>0</v>
      </c>
      <c r="B1181" t="s">
        <v>75</v>
      </c>
      <c r="C1181" t="s">
        <v>82</v>
      </c>
      <c r="D1181" t="s">
        <v>178</v>
      </c>
      <c r="E1181" t="s">
        <v>301</v>
      </c>
      <c r="F1181" t="s">
        <v>1157</v>
      </c>
      <c r="G1181" t="s">
        <v>2230</v>
      </c>
      <c r="H1181" t="s">
        <v>3503</v>
      </c>
      <c r="I1181" t="s">
        <v>4033</v>
      </c>
      <c r="J1181" t="s">
        <v>4243</v>
      </c>
      <c r="K1181">
        <v>11691</v>
      </c>
      <c r="L1181" t="s">
        <v>4275</v>
      </c>
      <c r="M1181" t="s">
        <v>4275</v>
      </c>
      <c r="O1181" t="s">
        <v>4283</v>
      </c>
      <c r="P1181" t="s">
        <v>5336</v>
      </c>
      <c r="Q1181" t="s">
        <v>5731</v>
      </c>
      <c r="R1181" t="s">
        <v>5753</v>
      </c>
      <c r="S1181" t="s">
        <v>5759</v>
      </c>
      <c r="T1181" t="s">
        <v>4276</v>
      </c>
      <c r="V1181" t="s">
        <v>5767</v>
      </c>
      <c r="W1181" t="s">
        <v>5772</v>
      </c>
      <c r="X1181" t="s">
        <v>178</v>
      </c>
      <c r="Y1181">
        <v>1499.98</v>
      </c>
      <c r="Z1181" t="s">
        <v>5803</v>
      </c>
      <c r="AA1181" t="s">
        <v>5804</v>
      </c>
      <c r="AB1181" t="s">
        <v>5821</v>
      </c>
      <c r="AC1181" t="s">
        <v>6662</v>
      </c>
      <c r="AD1181" t="s">
        <v>7718</v>
      </c>
      <c r="AE1181" t="s">
        <v>8891</v>
      </c>
      <c r="AF1181">
        <v>42</v>
      </c>
      <c r="AG1181" t="s">
        <v>9272</v>
      </c>
      <c r="AH1181" t="s">
        <v>4280</v>
      </c>
      <c r="AI1181">
        <v>37</v>
      </c>
      <c r="AJ1181">
        <v>1</v>
      </c>
      <c r="AK1181">
        <v>1</v>
      </c>
      <c r="AL1181">
        <v>66.73</v>
      </c>
      <c r="AO1181" t="s">
        <v>1425</v>
      </c>
      <c r="AP1181">
        <v>10984</v>
      </c>
      <c r="AV1181">
        <v>2.35</v>
      </c>
      <c r="AW1181" t="s">
        <v>73</v>
      </c>
    </row>
    <row r="1182" spans="1:49">
      <c r="A1182" s="1">
        <f>HYPERLINK("https://cms.ls-nyc.org/matter/dynamic-profile/view/1877951","18-1877951")</f>
        <v>0</v>
      </c>
      <c r="B1182" t="s">
        <v>75</v>
      </c>
      <c r="C1182" t="s">
        <v>82</v>
      </c>
      <c r="D1182" t="s">
        <v>126</v>
      </c>
      <c r="E1182" t="s">
        <v>187</v>
      </c>
      <c r="F1182" t="s">
        <v>556</v>
      </c>
      <c r="G1182" t="s">
        <v>2231</v>
      </c>
      <c r="H1182" t="s">
        <v>2871</v>
      </c>
      <c r="I1182" t="s">
        <v>3891</v>
      </c>
      <c r="J1182" t="s">
        <v>4222</v>
      </c>
      <c r="K1182">
        <v>11434</v>
      </c>
      <c r="L1182" t="s">
        <v>4275</v>
      </c>
      <c r="M1182" t="s">
        <v>4275</v>
      </c>
      <c r="O1182" t="s">
        <v>4281</v>
      </c>
      <c r="P1182" t="s">
        <v>5337</v>
      </c>
      <c r="Q1182" t="s">
        <v>5731</v>
      </c>
      <c r="R1182" t="s">
        <v>5751</v>
      </c>
      <c r="S1182" t="s">
        <v>5758</v>
      </c>
      <c r="T1182" t="s">
        <v>4276</v>
      </c>
      <c r="V1182" t="s">
        <v>5767</v>
      </c>
      <c r="W1182" t="s">
        <v>5772</v>
      </c>
      <c r="X1182" t="s">
        <v>126</v>
      </c>
      <c r="Y1182">
        <v>963</v>
      </c>
      <c r="Z1182" t="s">
        <v>5803</v>
      </c>
      <c r="AA1182" t="s">
        <v>5804</v>
      </c>
      <c r="AB1182" t="s">
        <v>5820</v>
      </c>
      <c r="AC1182" t="s">
        <v>6910</v>
      </c>
      <c r="AE1182" t="s">
        <v>8892</v>
      </c>
      <c r="AF1182">
        <v>293</v>
      </c>
      <c r="AG1182" t="s">
        <v>9268</v>
      </c>
      <c r="AH1182" t="s">
        <v>4280</v>
      </c>
      <c r="AI1182">
        <v>40</v>
      </c>
      <c r="AJ1182">
        <v>1</v>
      </c>
      <c r="AK1182">
        <v>0</v>
      </c>
      <c r="AL1182">
        <v>73.15000000000001</v>
      </c>
      <c r="AO1182" t="s">
        <v>1425</v>
      </c>
      <c r="AP1182">
        <v>8880</v>
      </c>
      <c r="AR1182" t="s">
        <v>9327</v>
      </c>
      <c r="AS1182" t="s">
        <v>9339</v>
      </c>
      <c r="AT1182" t="s">
        <v>9372</v>
      </c>
      <c r="AU1182" t="s">
        <v>9530</v>
      </c>
      <c r="AV1182">
        <v>3.8</v>
      </c>
      <c r="AW1182" t="s">
        <v>73</v>
      </c>
    </row>
    <row r="1183" spans="1:49">
      <c r="A1183" s="1">
        <f>HYPERLINK("https://cms.ls-nyc.org/matter/dynamic-profile/view/1876297","18-1876297")</f>
        <v>0</v>
      </c>
      <c r="B1183" t="s">
        <v>75</v>
      </c>
      <c r="C1183" t="s">
        <v>82</v>
      </c>
      <c r="D1183" t="s">
        <v>194</v>
      </c>
      <c r="E1183" t="s">
        <v>301</v>
      </c>
      <c r="F1183" t="s">
        <v>1158</v>
      </c>
      <c r="G1183" t="s">
        <v>2232</v>
      </c>
      <c r="H1183" t="s">
        <v>2608</v>
      </c>
      <c r="I1183" t="s">
        <v>3935</v>
      </c>
      <c r="J1183" t="s">
        <v>4241</v>
      </c>
      <c r="K1183">
        <v>11368</v>
      </c>
      <c r="L1183" t="s">
        <v>4275</v>
      </c>
      <c r="M1183" t="s">
        <v>4275</v>
      </c>
      <c r="O1183" t="s">
        <v>4282</v>
      </c>
      <c r="P1183" t="s">
        <v>5338</v>
      </c>
      <c r="Q1183" t="s">
        <v>5731</v>
      </c>
      <c r="R1183" t="s">
        <v>5753</v>
      </c>
      <c r="S1183" t="s">
        <v>5759</v>
      </c>
      <c r="T1183" t="s">
        <v>4276</v>
      </c>
      <c r="V1183" t="s">
        <v>5767</v>
      </c>
      <c r="W1183" t="s">
        <v>5772</v>
      </c>
      <c r="X1183" t="s">
        <v>194</v>
      </c>
      <c r="Y1183">
        <v>1138</v>
      </c>
      <c r="Z1183" t="s">
        <v>5803</v>
      </c>
      <c r="AA1183" t="s">
        <v>5804</v>
      </c>
      <c r="AB1183" t="s">
        <v>5821</v>
      </c>
      <c r="AC1183" t="s">
        <v>6911</v>
      </c>
      <c r="AE1183" t="s">
        <v>8893</v>
      </c>
      <c r="AF1183">
        <v>255</v>
      </c>
      <c r="AG1183" t="s">
        <v>9272</v>
      </c>
      <c r="AH1183" t="s">
        <v>9287</v>
      </c>
      <c r="AI1183">
        <v>20</v>
      </c>
      <c r="AJ1183">
        <v>1</v>
      </c>
      <c r="AK1183">
        <v>0</v>
      </c>
      <c r="AL1183">
        <v>74.14</v>
      </c>
      <c r="AO1183" t="s">
        <v>9313</v>
      </c>
      <c r="AP1183">
        <v>9000</v>
      </c>
      <c r="AV1183">
        <v>1.5</v>
      </c>
      <c r="AW1183" t="s">
        <v>54</v>
      </c>
    </row>
    <row r="1184" spans="1:49">
      <c r="A1184" s="1">
        <f>HYPERLINK("https://cms.ls-nyc.org/matter/dynamic-profile/view/1879311","18-1879311")</f>
        <v>0</v>
      </c>
      <c r="B1184" t="s">
        <v>75</v>
      </c>
      <c r="C1184" t="s">
        <v>83</v>
      </c>
      <c r="D1184" t="s">
        <v>220</v>
      </c>
      <c r="F1184" t="s">
        <v>977</v>
      </c>
      <c r="G1184" t="s">
        <v>2233</v>
      </c>
      <c r="H1184" t="s">
        <v>3504</v>
      </c>
      <c r="I1184" t="s">
        <v>4147</v>
      </c>
      <c r="J1184" t="s">
        <v>4243</v>
      </c>
      <c r="K1184">
        <v>11691</v>
      </c>
      <c r="L1184" t="s">
        <v>4275</v>
      </c>
      <c r="M1184" t="s">
        <v>4275</v>
      </c>
      <c r="O1184" t="s">
        <v>4283</v>
      </c>
      <c r="P1184" t="s">
        <v>5339</v>
      </c>
      <c r="Q1184" t="s">
        <v>5732</v>
      </c>
      <c r="R1184" t="s">
        <v>5753</v>
      </c>
      <c r="T1184" t="s">
        <v>4276</v>
      </c>
      <c r="V1184" t="s">
        <v>5767</v>
      </c>
      <c r="W1184" t="s">
        <v>5772</v>
      </c>
      <c r="X1184" t="s">
        <v>220</v>
      </c>
      <c r="Y1184">
        <v>171</v>
      </c>
      <c r="Z1184" t="s">
        <v>5803</v>
      </c>
      <c r="AA1184" t="s">
        <v>5804</v>
      </c>
      <c r="AC1184" t="s">
        <v>6912</v>
      </c>
      <c r="AD1184" t="s">
        <v>7719</v>
      </c>
      <c r="AE1184" t="s">
        <v>8894</v>
      </c>
      <c r="AF1184">
        <v>96</v>
      </c>
      <c r="AG1184" t="s">
        <v>9278</v>
      </c>
      <c r="AH1184" t="s">
        <v>4280</v>
      </c>
      <c r="AI1184">
        <v>3</v>
      </c>
      <c r="AJ1184">
        <v>1</v>
      </c>
      <c r="AK1184">
        <v>0</v>
      </c>
      <c r="AL1184">
        <v>75.12</v>
      </c>
      <c r="AO1184" t="s">
        <v>1425</v>
      </c>
      <c r="AP1184">
        <v>9120</v>
      </c>
      <c r="AV1184">
        <v>0</v>
      </c>
      <c r="AW1184" t="s">
        <v>73</v>
      </c>
    </row>
    <row r="1185" spans="1:49">
      <c r="A1185" s="1">
        <f>HYPERLINK("https://cms.ls-nyc.org/matter/dynamic-profile/view/1875176","18-1875176")</f>
        <v>0</v>
      </c>
      <c r="B1185" t="s">
        <v>75</v>
      </c>
      <c r="C1185" t="s">
        <v>82</v>
      </c>
      <c r="D1185" t="s">
        <v>177</v>
      </c>
      <c r="E1185" t="s">
        <v>301</v>
      </c>
      <c r="F1185" t="s">
        <v>337</v>
      </c>
      <c r="G1185" t="s">
        <v>2234</v>
      </c>
      <c r="H1185" t="s">
        <v>3505</v>
      </c>
      <c r="J1185" t="s">
        <v>4243</v>
      </c>
      <c r="K1185">
        <v>11691</v>
      </c>
      <c r="L1185" t="s">
        <v>4275</v>
      </c>
      <c r="M1185" t="s">
        <v>4275</v>
      </c>
      <c r="O1185" t="s">
        <v>4283</v>
      </c>
      <c r="P1185" t="s">
        <v>5340</v>
      </c>
      <c r="Q1185" t="s">
        <v>5732</v>
      </c>
      <c r="R1185" t="s">
        <v>5753</v>
      </c>
      <c r="S1185" t="s">
        <v>5759</v>
      </c>
      <c r="T1185" t="s">
        <v>4276</v>
      </c>
      <c r="V1185" t="s">
        <v>5767</v>
      </c>
      <c r="W1185" t="s">
        <v>5772</v>
      </c>
      <c r="X1185" t="s">
        <v>178</v>
      </c>
      <c r="Y1185">
        <v>0</v>
      </c>
      <c r="Z1185" t="s">
        <v>5803</v>
      </c>
      <c r="AA1185" t="s">
        <v>5812</v>
      </c>
      <c r="AB1185" t="s">
        <v>5821</v>
      </c>
      <c r="AC1185" t="s">
        <v>6913</v>
      </c>
      <c r="AD1185" t="s">
        <v>4280</v>
      </c>
      <c r="AE1185" t="s">
        <v>8895</v>
      </c>
      <c r="AF1185">
        <v>2</v>
      </c>
      <c r="AG1185" t="s">
        <v>9269</v>
      </c>
      <c r="AH1185" t="s">
        <v>4280</v>
      </c>
      <c r="AI1185">
        <v>20</v>
      </c>
      <c r="AJ1185">
        <v>1</v>
      </c>
      <c r="AK1185">
        <v>0</v>
      </c>
      <c r="AL1185">
        <v>82.37</v>
      </c>
      <c r="AO1185" t="s">
        <v>1425</v>
      </c>
      <c r="AP1185">
        <v>10000</v>
      </c>
      <c r="AV1185">
        <v>2.05</v>
      </c>
      <c r="AW1185" t="s">
        <v>9551</v>
      </c>
    </row>
    <row r="1186" spans="1:49">
      <c r="A1186" s="1">
        <f>HYPERLINK("https://cms.ls-nyc.org/matter/dynamic-profile/view/1875144","18-1875144")</f>
        <v>0</v>
      </c>
      <c r="B1186" t="s">
        <v>75</v>
      </c>
      <c r="C1186" t="s">
        <v>82</v>
      </c>
      <c r="D1186" t="s">
        <v>177</v>
      </c>
      <c r="E1186" t="s">
        <v>149</v>
      </c>
      <c r="F1186" t="s">
        <v>841</v>
      </c>
      <c r="G1186" t="s">
        <v>2235</v>
      </c>
      <c r="H1186" t="s">
        <v>3506</v>
      </c>
      <c r="I1186" t="s">
        <v>4148</v>
      </c>
      <c r="J1186" t="s">
        <v>4239</v>
      </c>
      <c r="K1186">
        <v>11420</v>
      </c>
      <c r="L1186" t="s">
        <v>4275</v>
      </c>
      <c r="M1186" t="s">
        <v>4276</v>
      </c>
      <c r="O1186" t="s">
        <v>4282</v>
      </c>
      <c r="P1186" t="s">
        <v>5341</v>
      </c>
      <c r="Q1186" t="s">
        <v>5732</v>
      </c>
      <c r="R1186" t="s">
        <v>5751</v>
      </c>
      <c r="S1186" t="s">
        <v>5758</v>
      </c>
      <c r="T1186" t="s">
        <v>4276</v>
      </c>
      <c r="V1186" t="s">
        <v>5767</v>
      </c>
      <c r="W1186" t="s">
        <v>5775</v>
      </c>
      <c r="X1186" t="s">
        <v>177</v>
      </c>
      <c r="Y1186">
        <v>500</v>
      </c>
      <c r="Z1186" t="s">
        <v>5803</v>
      </c>
      <c r="AA1186" t="s">
        <v>5804</v>
      </c>
      <c r="AB1186" t="s">
        <v>5825</v>
      </c>
      <c r="AC1186" t="s">
        <v>6914</v>
      </c>
      <c r="AD1186" t="s">
        <v>7720</v>
      </c>
      <c r="AE1186" t="s">
        <v>8896</v>
      </c>
      <c r="AF1186">
        <v>5</v>
      </c>
      <c r="AG1186" t="s">
        <v>9269</v>
      </c>
      <c r="AH1186" t="s">
        <v>4280</v>
      </c>
      <c r="AI1186">
        <v>2</v>
      </c>
      <c r="AJ1186">
        <v>1</v>
      </c>
      <c r="AK1186">
        <v>0</v>
      </c>
      <c r="AL1186">
        <v>84.02</v>
      </c>
      <c r="AO1186" t="s">
        <v>1425</v>
      </c>
      <c r="AP1186">
        <v>10200</v>
      </c>
      <c r="AR1186" t="s">
        <v>9329</v>
      </c>
      <c r="AT1186" t="s">
        <v>9370</v>
      </c>
      <c r="AU1186" t="s">
        <v>9410</v>
      </c>
      <c r="AV1186">
        <v>14.95</v>
      </c>
      <c r="AW1186" t="s">
        <v>73</v>
      </c>
    </row>
    <row r="1187" spans="1:49">
      <c r="A1187" s="1">
        <f>HYPERLINK("https://cms.ls-nyc.org/matter/dynamic-profile/view/1872561","18-1872561")</f>
        <v>0</v>
      </c>
      <c r="B1187" t="s">
        <v>75</v>
      </c>
      <c r="C1187" t="s">
        <v>82</v>
      </c>
      <c r="D1187" t="s">
        <v>261</v>
      </c>
      <c r="E1187" t="s">
        <v>190</v>
      </c>
      <c r="F1187" t="s">
        <v>1159</v>
      </c>
      <c r="G1187" t="s">
        <v>2236</v>
      </c>
      <c r="H1187" t="s">
        <v>3507</v>
      </c>
      <c r="I1187" t="s">
        <v>3952</v>
      </c>
      <c r="J1187" t="s">
        <v>4235</v>
      </c>
      <c r="K1187">
        <v>11421</v>
      </c>
      <c r="L1187" t="s">
        <v>4275</v>
      </c>
      <c r="M1187" t="s">
        <v>4275</v>
      </c>
      <c r="O1187" t="s">
        <v>4282</v>
      </c>
      <c r="P1187" t="s">
        <v>5342</v>
      </c>
      <c r="Q1187" t="s">
        <v>5732</v>
      </c>
      <c r="R1187" t="s">
        <v>5751</v>
      </c>
      <c r="S1187" t="s">
        <v>5758</v>
      </c>
      <c r="T1187" t="s">
        <v>4276</v>
      </c>
      <c r="V1187" t="s">
        <v>5767</v>
      </c>
      <c r="W1187" t="s">
        <v>5772</v>
      </c>
      <c r="X1187" t="s">
        <v>195</v>
      </c>
      <c r="Y1187">
        <v>230</v>
      </c>
      <c r="Z1187" t="s">
        <v>5803</v>
      </c>
      <c r="AA1187" t="s">
        <v>5804</v>
      </c>
      <c r="AB1187" t="s">
        <v>5822</v>
      </c>
      <c r="AC1187" t="s">
        <v>6915</v>
      </c>
      <c r="AD1187" t="s">
        <v>7535</v>
      </c>
      <c r="AE1187" t="s">
        <v>7289</v>
      </c>
      <c r="AF1187">
        <v>3</v>
      </c>
      <c r="AG1187" t="s">
        <v>9269</v>
      </c>
      <c r="AH1187" t="s">
        <v>4280</v>
      </c>
      <c r="AI1187">
        <v>1</v>
      </c>
      <c r="AJ1187">
        <v>1</v>
      </c>
      <c r="AK1187">
        <v>0</v>
      </c>
      <c r="AL1187">
        <v>85.67</v>
      </c>
      <c r="AO1187" t="s">
        <v>1425</v>
      </c>
      <c r="AP1187">
        <v>10400</v>
      </c>
      <c r="AR1187" t="s">
        <v>9327</v>
      </c>
      <c r="AT1187" t="s">
        <v>9370</v>
      </c>
      <c r="AU1187" t="s">
        <v>9531</v>
      </c>
      <c r="AV1187">
        <v>14.7</v>
      </c>
      <c r="AW1187" t="s">
        <v>73</v>
      </c>
    </row>
    <row r="1188" spans="1:49">
      <c r="A1188" s="1">
        <f>HYPERLINK("https://cms.ls-nyc.org/matter/dynamic-profile/view/1872935","18-1872935")</f>
        <v>0</v>
      </c>
      <c r="B1188" t="s">
        <v>75</v>
      </c>
      <c r="C1188" t="s">
        <v>82</v>
      </c>
      <c r="D1188" t="s">
        <v>204</v>
      </c>
      <c r="E1188" t="s">
        <v>196</v>
      </c>
      <c r="F1188" t="s">
        <v>344</v>
      </c>
      <c r="G1188" t="s">
        <v>2237</v>
      </c>
      <c r="H1188" t="s">
        <v>3508</v>
      </c>
      <c r="J1188" t="s">
        <v>4222</v>
      </c>
      <c r="K1188">
        <v>11434</v>
      </c>
      <c r="L1188" t="s">
        <v>4275</v>
      </c>
      <c r="M1188" t="s">
        <v>4275</v>
      </c>
      <c r="O1188" t="s">
        <v>4281</v>
      </c>
      <c r="P1188" t="s">
        <v>5142</v>
      </c>
      <c r="Q1188" t="s">
        <v>5732</v>
      </c>
      <c r="R1188" t="s">
        <v>5753</v>
      </c>
      <c r="S1188" t="s">
        <v>5759</v>
      </c>
      <c r="T1188" t="s">
        <v>4276</v>
      </c>
      <c r="V1188" t="s">
        <v>5767</v>
      </c>
      <c r="W1188" t="s">
        <v>5772</v>
      </c>
      <c r="X1188" t="s">
        <v>143</v>
      </c>
      <c r="Y1188">
        <v>500</v>
      </c>
      <c r="Z1188" t="s">
        <v>5803</v>
      </c>
      <c r="AA1188" t="s">
        <v>5804</v>
      </c>
      <c r="AB1188" t="s">
        <v>5821</v>
      </c>
      <c r="AC1188" t="s">
        <v>6916</v>
      </c>
      <c r="AE1188" t="s">
        <v>8897</v>
      </c>
      <c r="AF1188">
        <v>1</v>
      </c>
      <c r="AG1188" t="s">
        <v>9269</v>
      </c>
      <c r="AH1188" t="s">
        <v>4280</v>
      </c>
      <c r="AI1188">
        <v>4</v>
      </c>
      <c r="AJ1188">
        <v>2</v>
      </c>
      <c r="AK1188">
        <v>1</v>
      </c>
      <c r="AL1188">
        <v>86.62</v>
      </c>
      <c r="AO1188" t="s">
        <v>1425</v>
      </c>
      <c r="AP1188">
        <v>18000</v>
      </c>
      <c r="AV1188">
        <v>1</v>
      </c>
      <c r="AW1188" t="s">
        <v>73</v>
      </c>
    </row>
    <row r="1189" spans="1:49">
      <c r="A1189" s="1">
        <f>HYPERLINK("https://cms.ls-nyc.org/matter/dynamic-profile/view/1883571","18-1883571")</f>
        <v>0</v>
      </c>
      <c r="B1189" t="s">
        <v>75</v>
      </c>
      <c r="C1189" t="s">
        <v>82</v>
      </c>
      <c r="D1189" t="s">
        <v>186</v>
      </c>
      <c r="E1189" t="s">
        <v>301</v>
      </c>
      <c r="F1189" t="s">
        <v>1160</v>
      </c>
      <c r="G1189" t="s">
        <v>2238</v>
      </c>
      <c r="H1189" t="s">
        <v>3509</v>
      </c>
      <c r="I1189" t="s">
        <v>3900</v>
      </c>
      <c r="J1189" t="s">
        <v>4235</v>
      </c>
      <c r="K1189">
        <v>11421</v>
      </c>
      <c r="L1189" t="s">
        <v>4275</v>
      </c>
      <c r="M1189" t="s">
        <v>4275</v>
      </c>
      <c r="O1189" t="s">
        <v>4282</v>
      </c>
      <c r="P1189" t="s">
        <v>5343</v>
      </c>
      <c r="Q1189" t="s">
        <v>5731</v>
      </c>
      <c r="R1189" t="s">
        <v>5753</v>
      </c>
      <c r="S1189" t="s">
        <v>5759</v>
      </c>
      <c r="T1189" t="s">
        <v>4276</v>
      </c>
      <c r="V1189" t="s">
        <v>5767</v>
      </c>
      <c r="W1189" t="s">
        <v>5772</v>
      </c>
      <c r="X1189" t="s">
        <v>186</v>
      </c>
      <c r="Y1189">
        <v>1024</v>
      </c>
      <c r="Z1189" t="s">
        <v>5803</v>
      </c>
      <c r="AA1189" t="s">
        <v>5804</v>
      </c>
      <c r="AB1189" t="s">
        <v>5821</v>
      </c>
      <c r="AC1189" t="s">
        <v>6456</v>
      </c>
      <c r="AE1189" t="s">
        <v>8898</v>
      </c>
      <c r="AF1189">
        <v>60</v>
      </c>
      <c r="AG1189" t="s">
        <v>9272</v>
      </c>
      <c r="AH1189" t="s">
        <v>4280</v>
      </c>
      <c r="AI1189">
        <v>12</v>
      </c>
      <c r="AJ1189">
        <v>1</v>
      </c>
      <c r="AK1189">
        <v>2</v>
      </c>
      <c r="AL1189">
        <v>96.25</v>
      </c>
      <c r="AO1189" t="s">
        <v>1425</v>
      </c>
      <c r="AP1189">
        <v>20000</v>
      </c>
      <c r="AV1189">
        <v>1.1</v>
      </c>
      <c r="AW1189" t="s">
        <v>54</v>
      </c>
    </row>
    <row r="1190" spans="1:49">
      <c r="A1190" s="1">
        <f>HYPERLINK("https://cms.ls-nyc.org/matter/dynamic-profile/view/1879475","18-1879475")</f>
        <v>0</v>
      </c>
      <c r="B1190" t="s">
        <v>75</v>
      </c>
      <c r="C1190" t="s">
        <v>83</v>
      </c>
      <c r="D1190" t="s">
        <v>128</v>
      </c>
      <c r="F1190" t="s">
        <v>1161</v>
      </c>
      <c r="G1190" t="s">
        <v>1836</v>
      </c>
      <c r="H1190" t="s">
        <v>3510</v>
      </c>
      <c r="I1190" t="s">
        <v>3849</v>
      </c>
      <c r="J1190" t="s">
        <v>4222</v>
      </c>
      <c r="K1190">
        <v>11434</v>
      </c>
      <c r="L1190" t="s">
        <v>4275</v>
      </c>
      <c r="M1190" t="s">
        <v>4275</v>
      </c>
      <c r="O1190" t="s">
        <v>4281</v>
      </c>
      <c r="P1190" t="s">
        <v>5344</v>
      </c>
      <c r="Q1190" t="s">
        <v>5732</v>
      </c>
      <c r="R1190" t="s">
        <v>5751</v>
      </c>
      <c r="T1190" t="s">
        <v>4276</v>
      </c>
      <c r="V1190" t="s">
        <v>5767</v>
      </c>
      <c r="W1190" t="s">
        <v>5772</v>
      </c>
      <c r="X1190" t="s">
        <v>128</v>
      </c>
      <c r="Y1190">
        <v>1280</v>
      </c>
      <c r="Z1190" t="s">
        <v>5803</v>
      </c>
      <c r="AA1190" t="s">
        <v>5804</v>
      </c>
      <c r="AC1190" t="s">
        <v>6917</v>
      </c>
      <c r="AE1190" t="s">
        <v>8899</v>
      </c>
      <c r="AF1190">
        <v>2</v>
      </c>
      <c r="AG1190" t="s">
        <v>9269</v>
      </c>
      <c r="AH1190" t="s">
        <v>4280</v>
      </c>
      <c r="AI1190">
        <v>4</v>
      </c>
      <c r="AJ1190">
        <v>1</v>
      </c>
      <c r="AK1190">
        <v>2</v>
      </c>
      <c r="AL1190">
        <v>105.87</v>
      </c>
      <c r="AO1190" t="s">
        <v>1425</v>
      </c>
      <c r="AP1190">
        <v>22000</v>
      </c>
      <c r="AR1190" t="s">
        <v>9327</v>
      </c>
      <c r="AS1190" t="s">
        <v>9367</v>
      </c>
      <c r="AT1190" t="s">
        <v>9370</v>
      </c>
      <c r="AU1190" t="s">
        <v>9531</v>
      </c>
      <c r="AV1190">
        <v>6.7</v>
      </c>
      <c r="AW1190" t="s">
        <v>74</v>
      </c>
    </row>
    <row r="1191" spans="1:49">
      <c r="A1191" s="1">
        <f>HYPERLINK("https://cms.ls-nyc.org/matter/dynamic-profile/view/1875131","18-1875131")</f>
        <v>0</v>
      </c>
      <c r="B1191" t="s">
        <v>75</v>
      </c>
      <c r="C1191" t="s">
        <v>83</v>
      </c>
      <c r="D1191" t="s">
        <v>177</v>
      </c>
      <c r="F1191" t="s">
        <v>329</v>
      </c>
      <c r="G1191" t="s">
        <v>1853</v>
      </c>
      <c r="H1191" t="s">
        <v>3511</v>
      </c>
      <c r="I1191" t="s">
        <v>3849</v>
      </c>
      <c r="J1191" t="s">
        <v>4222</v>
      </c>
      <c r="K1191">
        <v>11435</v>
      </c>
      <c r="L1191" t="s">
        <v>4275</v>
      </c>
      <c r="M1191" t="s">
        <v>4275</v>
      </c>
      <c r="O1191" t="s">
        <v>4282</v>
      </c>
      <c r="P1191" t="s">
        <v>5345</v>
      </c>
      <c r="Q1191" t="s">
        <v>5732</v>
      </c>
      <c r="R1191" t="s">
        <v>5753</v>
      </c>
      <c r="T1191" t="s">
        <v>4275</v>
      </c>
      <c r="V1191" t="s">
        <v>5767</v>
      </c>
      <c r="W1191" t="s">
        <v>5772</v>
      </c>
      <c r="X1191" t="s">
        <v>177</v>
      </c>
      <c r="Y1191">
        <v>100</v>
      </c>
      <c r="Z1191" t="s">
        <v>5803</v>
      </c>
      <c r="AA1191" t="s">
        <v>5804</v>
      </c>
      <c r="AC1191" t="s">
        <v>6918</v>
      </c>
      <c r="AE1191" t="s">
        <v>8900</v>
      </c>
      <c r="AF1191">
        <v>2</v>
      </c>
      <c r="AG1191" t="s">
        <v>9269</v>
      </c>
      <c r="AH1191" t="s">
        <v>4280</v>
      </c>
      <c r="AI1191">
        <v>7</v>
      </c>
      <c r="AJ1191">
        <v>1</v>
      </c>
      <c r="AK1191">
        <v>0</v>
      </c>
      <c r="AL1191">
        <v>107.84</v>
      </c>
      <c r="AO1191" t="s">
        <v>1425</v>
      </c>
      <c r="AP1191">
        <v>13092</v>
      </c>
      <c r="AV1191">
        <v>7.5</v>
      </c>
      <c r="AW1191" t="s">
        <v>74</v>
      </c>
    </row>
    <row r="1192" spans="1:49">
      <c r="A1192" s="1">
        <f>HYPERLINK("https://cms.ls-nyc.org/matter/dynamic-profile/view/1882644","18-1882644")</f>
        <v>0</v>
      </c>
      <c r="B1192" t="s">
        <v>75</v>
      </c>
      <c r="C1192" t="s">
        <v>82</v>
      </c>
      <c r="D1192" t="s">
        <v>111</v>
      </c>
      <c r="E1192" t="s">
        <v>301</v>
      </c>
      <c r="F1192" t="s">
        <v>315</v>
      </c>
      <c r="G1192" t="s">
        <v>2239</v>
      </c>
      <c r="H1192" t="s">
        <v>3512</v>
      </c>
      <c r="I1192" t="s">
        <v>3864</v>
      </c>
      <c r="J1192" t="s">
        <v>4244</v>
      </c>
      <c r="K1192">
        <v>11413</v>
      </c>
      <c r="L1192" t="s">
        <v>4275</v>
      </c>
      <c r="M1192" t="s">
        <v>4275</v>
      </c>
      <c r="O1192" t="s">
        <v>4282</v>
      </c>
      <c r="P1192" t="s">
        <v>5346</v>
      </c>
      <c r="Q1192" t="s">
        <v>5732</v>
      </c>
      <c r="R1192" t="s">
        <v>5753</v>
      </c>
      <c r="S1192" t="s">
        <v>5759</v>
      </c>
      <c r="T1192" t="s">
        <v>4276</v>
      </c>
      <c r="V1192" t="s">
        <v>5767</v>
      </c>
      <c r="W1192" t="s">
        <v>5772</v>
      </c>
      <c r="X1192" t="s">
        <v>111</v>
      </c>
      <c r="Y1192">
        <v>1638</v>
      </c>
      <c r="Z1192" t="s">
        <v>5803</v>
      </c>
      <c r="AA1192" t="s">
        <v>5804</v>
      </c>
      <c r="AB1192" t="s">
        <v>5821</v>
      </c>
      <c r="AC1192" t="s">
        <v>6919</v>
      </c>
      <c r="AD1192" t="s">
        <v>7721</v>
      </c>
      <c r="AE1192" t="s">
        <v>8901</v>
      </c>
      <c r="AF1192">
        <v>2</v>
      </c>
      <c r="AG1192" t="s">
        <v>9269</v>
      </c>
      <c r="AH1192" t="s">
        <v>9282</v>
      </c>
      <c r="AI1192">
        <v>2</v>
      </c>
      <c r="AJ1192">
        <v>2</v>
      </c>
      <c r="AK1192">
        <v>0</v>
      </c>
      <c r="AL1192">
        <v>109.36</v>
      </c>
      <c r="AO1192" t="s">
        <v>1425</v>
      </c>
      <c r="AP1192">
        <v>18000</v>
      </c>
      <c r="AV1192">
        <v>1.2</v>
      </c>
      <c r="AW1192" t="s">
        <v>73</v>
      </c>
    </row>
    <row r="1193" spans="1:49">
      <c r="A1193" s="1">
        <f>HYPERLINK("https://cms.ls-nyc.org/matter/dynamic-profile/view/1880942","18-1880942")</f>
        <v>0</v>
      </c>
      <c r="B1193" t="s">
        <v>75</v>
      </c>
      <c r="C1193" t="s">
        <v>83</v>
      </c>
      <c r="D1193" t="s">
        <v>256</v>
      </c>
      <c r="F1193" t="s">
        <v>1059</v>
      </c>
      <c r="G1193" t="s">
        <v>2131</v>
      </c>
      <c r="H1193" t="s">
        <v>3361</v>
      </c>
      <c r="I1193" t="s">
        <v>3880</v>
      </c>
      <c r="J1193" t="s">
        <v>4229</v>
      </c>
      <c r="K1193">
        <v>11358</v>
      </c>
      <c r="L1193" t="s">
        <v>4275</v>
      </c>
      <c r="M1193" t="s">
        <v>4275</v>
      </c>
      <c r="O1193" t="s">
        <v>4283</v>
      </c>
      <c r="P1193" t="s">
        <v>5347</v>
      </c>
      <c r="Q1193" t="s">
        <v>5734</v>
      </c>
      <c r="R1193" t="s">
        <v>5751</v>
      </c>
      <c r="T1193" t="s">
        <v>4276</v>
      </c>
      <c r="V1193" t="s">
        <v>5767</v>
      </c>
      <c r="W1193" t="s">
        <v>5772</v>
      </c>
      <c r="X1193" t="s">
        <v>196</v>
      </c>
      <c r="Y1193">
        <v>937</v>
      </c>
      <c r="Z1193" t="s">
        <v>5803</v>
      </c>
      <c r="AA1193" t="s">
        <v>5808</v>
      </c>
      <c r="AC1193" t="s">
        <v>6761</v>
      </c>
      <c r="AD1193" t="s">
        <v>4280</v>
      </c>
      <c r="AE1193" t="s">
        <v>8742</v>
      </c>
      <c r="AF1193">
        <v>20</v>
      </c>
      <c r="AG1193" t="s">
        <v>9272</v>
      </c>
      <c r="AH1193" t="s">
        <v>4280</v>
      </c>
      <c r="AI1193">
        <v>10</v>
      </c>
      <c r="AJ1193">
        <v>1</v>
      </c>
      <c r="AK1193">
        <v>0</v>
      </c>
      <c r="AL1193">
        <v>118.62</v>
      </c>
      <c r="AO1193" t="s">
        <v>1425</v>
      </c>
      <c r="AP1193">
        <v>14400</v>
      </c>
      <c r="AR1193" t="s">
        <v>9329</v>
      </c>
      <c r="AS1193" t="s">
        <v>9348</v>
      </c>
      <c r="AT1193" t="s">
        <v>9370</v>
      </c>
      <c r="AU1193" t="s">
        <v>9471</v>
      </c>
      <c r="AV1193">
        <v>10.7</v>
      </c>
      <c r="AW1193" t="s">
        <v>9561</v>
      </c>
    </row>
    <row r="1194" spans="1:49">
      <c r="A1194" s="1">
        <f>HYPERLINK("https://cms.ls-nyc.org/matter/dynamic-profile/view/1885139","18-1885139")</f>
        <v>0</v>
      </c>
      <c r="B1194" t="s">
        <v>75</v>
      </c>
      <c r="C1194" t="s">
        <v>83</v>
      </c>
      <c r="D1194" t="s">
        <v>221</v>
      </c>
      <c r="F1194" t="s">
        <v>1059</v>
      </c>
      <c r="G1194" t="s">
        <v>2131</v>
      </c>
      <c r="H1194" t="s">
        <v>3361</v>
      </c>
      <c r="I1194" t="s">
        <v>3880</v>
      </c>
      <c r="J1194" t="s">
        <v>4229</v>
      </c>
      <c r="K1194">
        <v>11358</v>
      </c>
      <c r="L1194" t="s">
        <v>4275</v>
      </c>
      <c r="M1194" t="s">
        <v>4275</v>
      </c>
      <c r="O1194" t="s">
        <v>4283</v>
      </c>
      <c r="P1194" t="s">
        <v>5348</v>
      </c>
      <c r="Q1194" t="s">
        <v>5734</v>
      </c>
      <c r="R1194" t="s">
        <v>5751</v>
      </c>
      <c r="T1194" t="s">
        <v>4276</v>
      </c>
      <c r="V1194" t="s">
        <v>5767</v>
      </c>
      <c r="W1194" t="s">
        <v>5772</v>
      </c>
      <c r="X1194" t="s">
        <v>196</v>
      </c>
      <c r="Y1194">
        <v>937</v>
      </c>
      <c r="Z1194" t="s">
        <v>5803</v>
      </c>
      <c r="AA1194" t="s">
        <v>5808</v>
      </c>
      <c r="AC1194" t="s">
        <v>6761</v>
      </c>
      <c r="AE1194" t="s">
        <v>8742</v>
      </c>
      <c r="AF1194">
        <v>20</v>
      </c>
      <c r="AG1194" t="s">
        <v>9272</v>
      </c>
      <c r="AH1194" t="s">
        <v>4280</v>
      </c>
      <c r="AI1194">
        <v>10</v>
      </c>
      <c r="AJ1194">
        <v>1</v>
      </c>
      <c r="AK1194">
        <v>0</v>
      </c>
      <c r="AL1194">
        <v>118.62</v>
      </c>
      <c r="AO1194" t="s">
        <v>1425</v>
      </c>
      <c r="AP1194">
        <v>14400</v>
      </c>
      <c r="AR1194" t="s">
        <v>9329</v>
      </c>
      <c r="AS1194" t="s">
        <v>9348</v>
      </c>
      <c r="AT1194" t="s">
        <v>9370</v>
      </c>
      <c r="AU1194" t="s">
        <v>9471</v>
      </c>
      <c r="AV1194">
        <v>5.3</v>
      </c>
      <c r="AW1194" t="s">
        <v>73</v>
      </c>
    </row>
    <row r="1195" spans="1:49">
      <c r="A1195" s="1">
        <f>HYPERLINK("https://cms.ls-nyc.org/matter/dynamic-profile/view/1883620","18-1883620")</f>
        <v>0</v>
      </c>
      <c r="B1195" t="s">
        <v>75</v>
      </c>
      <c r="C1195" t="s">
        <v>83</v>
      </c>
      <c r="D1195" t="s">
        <v>186</v>
      </c>
      <c r="F1195" t="s">
        <v>579</v>
      </c>
      <c r="G1195" t="s">
        <v>1506</v>
      </c>
      <c r="H1195" t="s">
        <v>3513</v>
      </c>
      <c r="I1195" t="s">
        <v>3912</v>
      </c>
      <c r="J1195" t="s">
        <v>4247</v>
      </c>
      <c r="K1195">
        <v>11415</v>
      </c>
      <c r="L1195" t="s">
        <v>4275</v>
      </c>
      <c r="M1195" t="s">
        <v>4275</v>
      </c>
      <c r="O1195" t="s">
        <v>4282</v>
      </c>
      <c r="P1195" t="s">
        <v>5349</v>
      </c>
      <c r="Q1195" t="s">
        <v>5731</v>
      </c>
      <c r="R1195" t="s">
        <v>5753</v>
      </c>
      <c r="T1195" t="s">
        <v>4276</v>
      </c>
      <c r="V1195" t="s">
        <v>5767</v>
      </c>
      <c r="W1195" t="s">
        <v>5775</v>
      </c>
      <c r="X1195" t="s">
        <v>221</v>
      </c>
      <c r="Y1195">
        <v>1750</v>
      </c>
      <c r="Z1195" t="s">
        <v>5803</v>
      </c>
      <c r="AA1195" t="s">
        <v>5804</v>
      </c>
      <c r="AC1195" t="s">
        <v>6920</v>
      </c>
      <c r="AD1195" t="s">
        <v>4700</v>
      </c>
      <c r="AE1195" t="s">
        <v>8902</v>
      </c>
      <c r="AF1195">
        <v>48</v>
      </c>
      <c r="AG1195" t="s">
        <v>9270</v>
      </c>
      <c r="AH1195" t="s">
        <v>4280</v>
      </c>
      <c r="AI1195">
        <v>-1</v>
      </c>
      <c r="AJ1195">
        <v>1</v>
      </c>
      <c r="AK1195">
        <v>2</v>
      </c>
      <c r="AL1195">
        <v>125.12</v>
      </c>
      <c r="AO1195" t="s">
        <v>9298</v>
      </c>
      <c r="AP1195">
        <v>26000</v>
      </c>
      <c r="AR1195" t="s">
        <v>9326</v>
      </c>
      <c r="AS1195" t="s">
        <v>5806</v>
      </c>
      <c r="AT1195" t="s">
        <v>9370</v>
      </c>
      <c r="AU1195" t="s">
        <v>9385</v>
      </c>
      <c r="AV1195">
        <v>2</v>
      </c>
      <c r="AW1195" t="s">
        <v>54</v>
      </c>
    </row>
    <row r="1196" spans="1:49">
      <c r="A1196" s="1">
        <f>HYPERLINK("https://cms.ls-nyc.org/matter/dynamic-profile/view/1871585","18-1871585")</f>
        <v>0</v>
      </c>
      <c r="B1196" t="s">
        <v>75</v>
      </c>
      <c r="C1196" t="s">
        <v>82</v>
      </c>
      <c r="D1196" t="s">
        <v>102</v>
      </c>
      <c r="E1196" t="s">
        <v>196</v>
      </c>
      <c r="F1196" t="s">
        <v>328</v>
      </c>
      <c r="G1196" t="s">
        <v>2240</v>
      </c>
      <c r="H1196" t="s">
        <v>3514</v>
      </c>
      <c r="I1196" t="s">
        <v>4149</v>
      </c>
      <c r="J1196" t="s">
        <v>4251</v>
      </c>
      <c r="K1196">
        <v>11377</v>
      </c>
      <c r="L1196" t="s">
        <v>4275</v>
      </c>
      <c r="M1196" t="s">
        <v>4275</v>
      </c>
      <c r="O1196" t="s">
        <v>4282</v>
      </c>
      <c r="P1196" t="s">
        <v>5350</v>
      </c>
      <c r="Q1196" t="s">
        <v>5731</v>
      </c>
      <c r="R1196" t="s">
        <v>5753</v>
      </c>
      <c r="S1196" t="s">
        <v>5759</v>
      </c>
      <c r="T1196" t="s">
        <v>4276</v>
      </c>
      <c r="V1196" t="s">
        <v>5767</v>
      </c>
      <c r="X1196" t="s">
        <v>102</v>
      </c>
      <c r="Y1196">
        <v>729.64</v>
      </c>
      <c r="Z1196" t="s">
        <v>5803</v>
      </c>
      <c r="AA1196" t="s">
        <v>5804</v>
      </c>
      <c r="AB1196" t="s">
        <v>5821</v>
      </c>
      <c r="AC1196" t="s">
        <v>6921</v>
      </c>
      <c r="AD1196" t="s">
        <v>4280</v>
      </c>
      <c r="AE1196" t="s">
        <v>8903</v>
      </c>
      <c r="AF1196">
        <v>133</v>
      </c>
      <c r="AG1196" t="s">
        <v>9273</v>
      </c>
      <c r="AH1196" t="s">
        <v>9287</v>
      </c>
      <c r="AI1196">
        <v>6</v>
      </c>
      <c r="AJ1196">
        <v>1</v>
      </c>
      <c r="AK1196">
        <v>0</v>
      </c>
      <c r="AL1196">
        <v>138.39</v>
      </c>
      <c r="AO1196" t="s">
        <v>1425</v>
      </c>
      <c r="AP1196">
        <v>16800</v>
      </c>
      <c r="AV1196">
        <v>0.95</v>
      </c>
      <c r="AW1196" t="s">
        <v>73</v>
      </c>
    </row>
    <row r="1197" spans="1:49">
      <c r="A1197" s="1">
        <f>HYPERLINK("https://cms.ls-nyc.org/matter/dynamic-profile/view/1875067","18-1875067")</f>
        <v>0</v>
      </c>
      <c r="B1197" t="s">
        <v>75</v>
      </c>
      <c r="C1197" t="s">
        <v>82</v>
      </c>
      <c r="D1197" t="s">
        <v>118</v>
      </c>
      <c r="E1197" t="s">
        <v>142</v>
      </c>
      <c r="F1197" t="s">
        <v>1162</v>
      </c>
      <c r="G1197" t="s">
        <v>2095</v>
      </c>
      <c r="H1197" t="s">
        <v>3515</v>
      </c>
      <c r="I1197" t="s">
        <v>4150</v>
      </c>
      <c r="J1197" t="s">
        <v>4255</v>
      </c>
      <c r="K1197">
        <v>11372</v>
      </c>
      <c r="L1197" t="s">
        <v>4275</v>
      </c>
      <c r="M1197" t="s">
        <v>4275</v>
      </c>
      <c r="O1197" t="s">
        <v>4282</v>
      </c>
      <c r="P1197" t="s">
        <v>5351</v>
      </c>
      <c r="Q1197" t="s">
        <v>5731</v>
      </c>
      <c r="R1197" t="s">
        <v>5751</v>
      </c>
      <c r="S1197" t="s">
        <v>5758</v>
      </c>
      <c r="T1197" t="s">
        <v>4276</v>
      </c>
      <c r="V1197" t="s">
        <v>5767</v>
      </c>
      <c r="W1197" t="s">
        <v>5772</v>
      </c>
      <c r="X1197" t="s">
        <v>118</v>
      </c>
      <c r="Y1197">
        <v>1346</v>
      </c>
      <c r="Z1197" t="s">
        <v>5803</v>
      </c>
      <c r="AA1197" t="s">
        <v>5804</v>
      </c>
      <c r="AB1197" t="s">
        <v>5820</v>
      </c>
      <c r="AC1197" t="s">
        <v>6647</v>
      </c>
      <c r="AD1197" t="s">
        <v>7722</v>
      </c>
      <c r="AE1197" t="s">
        <v>8904</v>
      </c>
      <c r="AF1197">
        <v>83</v>
      </c>
      <c r="AG1197" t="s">
        <v>9274</v>
      </c>
      <c r="AH1197" t="s">
        <v>4280</v>
      </c>
      <c r="AI1197">
        <v>24</v>
      </c>
      <c r="AJ1197">
        <v>1</v>
      </c>
      <c r="AK1197">
        <v>0</v>
      </c>
      <c r="AL1197">
        <v>140.03</v>
      </c>
      <c r="AO1197" t="s">
        <v>1425</v>
      </c>
      <c r="AP1197">
        <v>17000</v>
      </c>
      <c r="AR1197" t="s">
        <v>9327</v>
      </c>
      <c r="AS1197" t="s">
        <v>9336</v>
      </c>
      <c r="AT1197" t="s">
        <v>9369</v>
      </c>
      <c r="AU1197" t="s">
        <v>9520</v>
      </c>
      <c r="AV1197">
        <v>21</v>
      </c>
      <c r="AW1197" t="s">
        <v>73</v>
      </c>
    </row>
    <row r="1198" spans="1:49">
      <c r="A1198" s="1">
        <f>HYPERLINK("https://cms.ls-nyc.org/matter/dynamic-profile/view/1881985","18-1881985")</f>
        <v>0</v>
      </c>
      <c r="B1198" t="s">
        <v>75</v>
      </c>
      <c r="C1198" t="s">
        <v>82</v>
      </c>
      <c r="D1198" t="s">
        <v>201</v>
      </c>
      <c r="E1198" t="s">
        <v>265</v>
      </c>
      <c r="F1198" t="s">
        <v>1163</v>
      </c>
      <c r="G1198" t="s">
        <v>473</v>
      </c>
      <c r="H1198" t="s">
        <v>3516</v>
      </c>
      <c r="J1198" t="s">
        <v>4222</v>
      </c>
      <c r="K1198">
        <v>11433</v>
      </c>
      <c r="L1198" t="s">
        <v>4275</v>
      </c>
      <c r="M1198" t="s">
        <v>4275</v>
      </c>
      <c r="O1198" t="s">
        <v>4281</v>
      </c>
      <c r="P1198" t="s">
        <v>5352</v>
      </c>
      <c r="Q1198" t="s">
        <v>5732</v>
      </c>
      <c r="R1198" t="s">
        <v>5751</v>
      </c>
      <c r="S1198" t="s">
        <v>5758</v>
      </c>
      <c r="T1198" t="s">
        <v>4276</v>
      </c>
      <c r="V1198" t="s">
        <v>5767</v>
      </c>
      <c r="W1198" t="s">
        <v>5772</v>
      </c>
      <c r="X1198" t="s">
        <v>201</v>
      </c>
      <c r="Y1198">
        <v>1450</v>
      </c>
      <c r="Z1198" t="s">
        <v>5803</v>
      </c>
      <c r="AA1198" t="s">
        <v>5804</v>
      </c>
      <c r="AB1198" t="s">
        <v>5822</v>
      </c>
      <c r="AC1198" t="s">
        <v>6922</v>
      </c>
      <c r="AD1198" t="s">
        <v>4280</v>
      </c>
      <c r="AE1198" t="s">
        <v>8905</v>
      </c>
      <c r="AF1198">
        <v>2</v>
      </c>
      <c r="AG1198" t="s">
        <v>9269</v>
      </c>
      <c r="AH1198" t="s">
        <v>4280</v>
      </c>
      <c r="AI1198">
        <v>12</v>
      </c>
      <c r="AJ1198">
        <v>2</v>
      </c>
      <c r="AK1198">
        <v>0</v>
      </c>
      <c r="AL1198">
        <v>140.58</v>
      </c>
      <c r="AO1198" t="s">
        <v>1425</v>
      </c>
      <c r="AP1198">
        <v>23140</v>
      </c>
      <c r="AR1198" t="s">
        <v>9327</v>
      </c>
      <c r="AS1198" t="s">
        <v>9336</v>
      </c>
      <c r="AT1198" t="s">
        <v>9370</v>
      </c>
      <c r="AU1198" t="s">
        <v>9481</v>
      </c>
      <c r="AV1198">
        <v>5.6</v>
      </c>
      <c r="AW1198" t="s">
        <v>54</v>
      </c>
    </row>
    <row r="1199" spans="1:49">
      <c r="A1199" s="1">
        <f>HYPERLINK("https://cms.ls-nyc.org/matter/dynamic-profile/view/1876557","18-1876557")</f>
        <v>0</v>
      </c>
      <c r="B1199" t="s">
        <v>75</v>
      </c>
      <c r="C1199" t="s">
        <v>82</v>
      </c>
      <c r="D1199" t="s">
        <v>178</v>
      </c>
      <c r="E1199" t="s">
        <v>301</v>
      </c>
      <c r="F1199" t="s">
        <v>1164</v>
      </c>
      <c r="G1199" t="s">
        <v>2241</v>
      </c>
      <c r="H1199" t="s">
        <v>3517</v>
      </c>
      <c r="I1199" t="s">
        <v>3864</v>
      </c>
      <c r="J1199" t="s">
        <v>4235</v>
      </c>
      <c r="K1199">
        <v>11421</v>
      </c>
      <c r="L1199" t="s">
        <v>4275</v>
      </c>
      <c r="M1199" t="s">
        <v>4275</v>
      </c>
      <c r="O1199" t="s">
        <v>4282</v>
      </c>
      <c r="P1199" t="s">
        <v>5353</v>
      </c>
      <c r="Q1199" t="s">
        <v>5732</v>
      </c>
      <c r="R1199" t="s">
        <v>5753</v>
      </c>
      <c r="S1199" t="s">
        <v>5759</v>
      </c>
      <c r="T1199" t="s">
        <v>4276</v>
      </c>
      <c r="V1199" t="s">
        <v>5767</v>
      </c>
      <c r="W1199" t="s">
        <v>5771</v>
      </c>
      <c r="X1199" t="s">
        <v>178</v>
      </c>
      <c r="Y1199">
        <v>1550</v>
      </c>
      <c r="Z1199" t="s">
        <v>5803</v>
      </c>
      <c r="AA1199" t="s">
        <v>5804</v>
      </c>
      <c r="AB1199" t="s">
        <v>5821</v>
      </c>
      <c r="AC1199" t="s">
        <v>6923</v>
      </c>
      <c r="AD1199" t="s">
        <v>7723</v>
      </c>
      <c r="AE1199" t="s">
        <v>8906</v>
      </c>
      <c r="AF1199">
        <v>2</v>
      </c>
      <c r="AG1199" t="s">
        <v>9269</v>
      </c>
      <c r="AH1199" t="s">
        <v>4280</v>
      </c>
      <c r="AI1199">
        <v>3</v>
      </c>
      <c r="AJ1199">
        <v>1</v>
      </c>
      <c r="AK1199">
        <v>1</v>
      </c>
      <c r="AL1199">
        <v>170.11</v>
      </c>
      <c r="AO1199" t="s">
        <v>1425</v>
      </c>
      <c r="AP1199">
        <v>28000</v>
      </c>
      <c r="AV1199">
        <v>2.25</v>
      </c>
      <c r="AW1199" t="s">
        <v>73</v>
      </c>
    </row>
    <row r="1200" spans="1:49">
      <c r="A1200" s="1">
        <f>HYPERLINK("https://cms.ls-nyc.org/matter/dynamic-profile/view/1873891","18-1873891")</f>
        <v>0</v>
      </c>
      <c r="B1200" t="s">
        <v>75</v>
      </c>
      <c r="C1200" t="s">
        <v>83</v>
      </c>
      <c r="D1200" t="s">
        <v>131</v>
      </c>
      <c r="F1200" t="s">
        <v>1165</v>
      </c>
      <c r="G1200" t="s">
        <v>2242</v>
      </c>
      <c r="H1200" t="s">
        <v>3518</v>
      </c>
      <c r="I1200">
        <v>510</v>
      </c>
      <c r="J1200" t="s">
        <v>4240</v>
      </c>
      <c r="K1200">
        <v>11373</v>
      </c>
      <c r="L1200" t="s">
        <v>4275</v>
      </c>
      <c r="M1200" t="s">
        <v>4275</v>
      </c>
      <c r="O1200" t="s">
        <v>4281</v>
      </c>
      <c r="P1200" t="s">
        <v>5354</v>
      </c>
      <c r="Q1200" t="s">
        <v>5731</v>
      </c>
      <c r="R1200" t="s">
        <v>5753</v>
      </c>
      <c r="T1200" t="s">
        <v>4276</v>
      </c>
      <c r="V1200" t="s">
        <v>5767</v>
      </c>
      <c r="W1200" t="s">
        <v>5772</v>
      </c>
      <c r="X1200" t="s">
        <v>131</v>
      </c>
      <c r="Y1200">
        <v>1417</v>
      </c>
      <c r="Z1200" t="s">
        <v>5803</v>
      </c>
      <c r="AA1200" t="s">
        <v>5804</v>
      </c>
      <c r="AC1200" t="s">
        <v>6924</v>
      </c>
      <c r="AE1200" t="s">
        <v>8907</v>
      </c>
      <c r="AF1200">
        <v>75</v>
      </c>
      <c r="AG1200" t="s">
        <v>9272</v>
      </c>
      <c r="AH1200" t="s">
        <v>4280</v>
      </c>
      <c r="AI1200">
        <v>24</v>
      </c>
      <c r="AJ1200">
        <v>1</v>
      </c>
      <c r="AK1200">
        <v>1</v>
      </c>
      <c r="AL1200">
        <v>170.11</v>
      </c>
      <c r="AP1200">
        <v>28000</v>
      </c>
      <c r="AV1200">
        <v>0.15</v>
      </c>
      <c r="AW1200" t="s">
        <v>74</v>
      </c>
    </row>
    <row r="1201" spans="1:49">
      <c r="A1201" s="1">
        <f>HYPERLINK("https://cms.ls-nyc.org/matter/dynamic-profile/view/1873379","18-1873379")</f>
        <v>0</v>
      </c>
      <c r="B1201" t="s">
        <v>76</v>
      </c>
      <c r="C1201" t="s">
        <v>83</v>
      </c>
      <c r="D1201" t="s">
        <v>153</v>
      </c>
      <c r="F1201" t="s">
        <v>841</v>
      </c>
      <c r="G1201" t="s">
        <v>2243</v>
      </c>
      <c r="H1201" t="s">
        <v>3519</v>
      </c>
      <c r="I1201" t="s">
        <v>3864</v>
      </c>
      <c r="J1201" t="s">
        <v>4254</v>
      </c>
      <c r="K1201">
        <v>11692</v>
      </c>
      <c r="L1201" t="s">
        <v>4275</v>
      </c>
      <c r="M1201" t="s">
        <v>4275</v>
      </c>
      <c r="O1201" t="s">
        <v>4283</v>
      </c>
      <c r="P1201" t="s">
        <v>5355</v>
      </c>
      <c r="Q1201" t="s">
        <v>5732</v>
      </c>
      <c r="R1201" t="s">
        <v>5753</v>
      </c>
      <c r="T1201" t="s">
        <v>4276</v>
      </c>
      <c r="V1201" t="s">
        <v>5767</v>
      </c>
      <c r="W1201" t="s">
        <v>5775</v>
      </c>
      <c r="X1201" t="s">
        <v>153</v>
      </c>
      <c r="Y1201">
        <v>2000</v>
      </c>
      <c r="Z1201" t="s">
        <v>5803</v>
      </c>
      <c r="AA1201" t="s">
        <v>5804</v>
      </c>
      <c r="AC1201" t="s">
        <v>6925</v>
      </c>
      <c r="AD1201" t="s">
        <v>4280</v>
      </c>
      <c r="AE1201" t="s">
        <v>8908</v>
      </c>
      <c r="AF1201">
        <v>2</v>
      </c>
      <c r="AG1201" t="s">
        <v>9269</v>
      </c>
      <c r="AH1201" t="s">
        <v>4280</v>
      </c>
      <c r="AI1201">
        <v>3</v>
      </c>
      <c r="AJ1201">
        <v>3</v>
      </c>
      <c r="AK1201">
        <v>1</v>
      </c>
      <c r="AL1201">
        <v>0</v>
      </c>
      <c r="AO1201" t="s">
        <v>1425</v>
      </c>
      <c r="AP1201">
        <v>0</v>
      </c>
      <c r="AV1201">
        <v>1.5</v>
      </c>
      <c r="AW1201" t="s">
        <v>73</v>
      </c>
    </row>
    <row r="1202" spans="1:49">
      <c r="A1202" s="1">
        <f>HYPERLINK("https://cms.ls-nyc.org/matter/dynamic-profile/view/1890870","19-1890870")</f>
        <v>0</v>
      </c>
      <c r="B1202" t="s">
        <v>76</v>
      </c>
      <c r="C1202" t="s">
        <v>83</v>
      </c>
      <c r="D1202" t="s">
        <v>98</v>
      </c>
      <c r="F1202" t="s">
        <v>376</v>
      </c>
      <c r="G1202" t="s">
        <v>2244</v>
      </c>
      <c r="H1202" t="s">
        <v>3520</v>
      </c>
      <c r="I1202" t="s">
        <v>3934</v>
      </c>
      <c r="J1202" t="s">
        <v>4243</v>
      </c>
      <c r="K1202">
        <v>11691</v>
      </c>
      <c r="L1202" t="s">
        <v>4275</v>
      </c>
      <c r="M1202" t="s">
        <v>4275</v>
      </c>
      <c r="O1202" t="s">
        <v>4283</v>
      </c>
      <c r="P1202" t="s">
        <v>5356</v>
      </c>
      <c r="Q1202" t="s">
        <v>5731</v>
      </c>
      <c r="R1202" t="s">
        <v>5753</v>
      </c>
      <c r="T1202" t="s">
        <v>4276</v>
      </c>
      <c r="V1202" t="s">
        <v>5767</v>
      </c>
      <c r="W1202" t="s">
        <v>5771</v>
      </c>
      <c r="X1202" t="s">
        <v>98</v>
      </c>
      <c r="Y1202">
        <v>1085</v>
      </c>
      <c r="Z1202" t="s">
        <v>5803</v>
      </c>
      <c r="AA1202" t="s">
        <v>5804</v>
      </c>
      <c r="AC1202" t="s">
        <v>6926</v>
      </c>
      <c r="AD1202" t="s">
        <v>7724</v>
      </c>
      <c r="AE1202" t="s">
        <v>7289</v>
      </c>
      <c r="AF1202">
        <v>84</v>
      </c>
      <c r="AG1202" t="s">
        <v>9272</v>
      </c>
      <c r="AH1202" t="s">
        <v>4280</v>
      </c>
      <c r="AI1202">
        <v>25</v>
      </c>
      <c r="AJ1202">
        <v>3</v>
      </c>
      <c r="AK1202">
        <v>0</v>
      </c>
      <c r="AL1202">
        <v>0</v>
      </c>
      <c r="AO1202" t="s">
        <v>9298</v>
      </c>
      <c r="AP1202">
        <v>0</v>
      </c>
      <c r="AV1202">
        <v>0.5</v>
      </c>
      <c r="AW1202" t="s">
        <v>73</v>
      </c>
    </row>
    <row r="1203" spans="1:49">
      <c r="A1203" s="1">
        <f>HYPERLINK("https://cms.ls-nyc.org/matter/dynamic-profile/view/1888579","19-1888579")</f>
        <v>0</v>
      </c>
      <c r="B1203" t="s">
        <v>76</v>
      </c>
      <c r="C1203" t="s">
        <v>83</v>
      </c>
      <c r="D1203" t="s">
        <v>125</v>
      </c>
      <c r="F1203" t="s">
        <v>1166</v>
      </c>
      <c r="G1203" t="s">
        <v>2245</v>
      </c>
      <c r="H1203" t="s">
        <v>3521</v>
      </c>
      <c r="I1203" t="s">
        <v>3948</v>
      </c>
      <c r="J1203" t="s">
        <v>4222</v>
      </c>
      <c r="K1203">
        <v>11435</v>
      </c>
      <c r="L1203" t="s">
        <v>4275</v>
      </c>
      <c r="M1203" t="s">
        <v>4275</v>
      </c>
      <c r="O1203" t="s">
        <v>4282</v>
      </c>
      <c r="P1203" t="s">
        <v>5357</v>
      </c>
      <c r="Q1203" t="s">
        <v>5731</v>
      </c>
      <c r="R1203" t="s">
        <v>5753</v>
      </c>
      <c r="T1203" t="s">
        <v>4276</v>
      </c>
      <c r="V1203" t="s">
        <v>5767</v>
      </c>
      <c r="W1203" t="s">
        <v>5772</v>
      </c>
      <c r="X1203" t="s">
        <v>125</v>
      </c>
      <c r="Y1203">
        <v>1700</v>
      </c>
      <c r="Z1203" t="s">
        <v>5803</v>
      </c>
      <c r="AA1203" t="s">
        <v>5804</v>
      </c>
      <c r="AC1203" t="s">
        <v>6927</v>
      </c>
      <c r="AD1203" t="s">
        <v>7725</v>
      </c>
      <c r="AE1203" t="s">
        <v>8909</v>
      </c>
      <c r="AF1203">
        <v>3</v>
      </c>
      <c r="AG1203" t="s">
        <v>9269</v>
      </c>
      <c r="AH1203" t="s">
        <v>4280</v>
      </c>
      <c r="AI1203">
        <v>1</v>
      </c>
      <c r="AJ1203">
        <v>1</v>
      </c>
      <c r="AK1203">
        <v>2</v>
      </c>
      <c r="AL1203">
        <v>0</v>
      </c>
      <c r="AO1203" t="s">
        <v>1425</v>
      </c>
      <c r="AP1203">
        <v>0</v>
      </c>
      <c r="AV1203">
        <v>1</v>
      </c>
      <c r="AW1203" t="s">
        <v>73</v>
      </c>
    </row>
    <row r="1204" spans="1:49">
      <c r="A1204" s="1">
        <f>HYPERLINK("https://cms.ls-nyc.org/matter/dynamic-profile/view/1872702","18-1872702")</f>
        <v>0</v>
      </c>
      <c r="B1204" t="s">
        <v>76</v>
      </c>
      <c r="C1204" t="s">
        <v>82</v>
      </c>
      <c r="D1204" t="s">
        <v>143</v>
      </c>
      <c r="E1204" t="s">
        <v>298</v>
      </c>
      <c r="F1204" t="s">
        <v>1043</v>
      </c>
      <c r="G1204" t="s">
        <v>2246</v>
      </c>
      <c r="H1204" t="s">
        <v>3508</v>
      </c>
      <c r="I1204" t="s">
        <v>3878</v>
      </c>
      <c r="J1204" t="s">
        <v>4222</v>
      </c>
      <c r="K1204">
        <v>11434</v>
      </c>
      <c r="L1204" t="s">
        <v>4275</v>
      </c>
      <c r="M1204" t="s">
        <v>4275</v>
      </c>
      <c r="O1204" t="s">
        <v>4281</v>
      </c>
      <c r="P1204" t="s">
        <v>5358</v>
      </c>
      <c r="Q1204" t="s">
        <v>5732</v>
      </c>
      <c r="R1204" t="s">
        <v>5751</v>
      </c>
      <c r="S1204" t="s">
        <v>5758</v>
      </c>
      <c r="T1204" t="s">
        <v>4276</v>
      </c>
      <c r="V1204" t="s">
        <v>5767</v>
      </c>
      <c r="W1204" t="s">
        <v>5772</v>
      </c>
      <c r="X1204" t="s">
        <v>143</v>
      </c>
      <c r="Y1204">
        <v>800</v>
      </c>
      <c r="Z1204" t="s">
        <v>5803</v>
      </c>
      <c r="AA1204" t="s">
        <v>5809</v>
      </c>
      <c r="AB1204" t="s">
        <v>5820</v>
      </c>
      <c r="AC1204" t="s">
        <v>6928</v>
      </c>
      <c r="AE1204" t="s">
        <v>8910</v>
      </c>
      <c r="AF1204">
        <v>4</v>
      </c>
      <c r="AG1204" t="s">
        <v>9269</v>
      </c>
      <c r="AH1204" t="s">
        <v>4280</v>
      </c>
      <c r="AI1204">
        <v>3</v>
      </c>
      <c r="AJ1204">
        <v>2</v>
      </c>
      <c r="AK1204">
        <v>0</v>
      </c>
      <c r="AL1204">
        <v>0</v>
      </c>
      <c r="AN1204" t="s">
        <v>9297</v>
      </c>
      <c r="AO1204" t="s">
        <v>1425</v>
      </c>
      <c r="AP1204">
        <v>0</v>
      </c>
      <c r="AR1204" t="s">
        <v>9329</v>
      </c>
      <c r="AS1204" t="s">
        <v>9336</v>
      </c>
      <c r="AT1204" t="s">
        <v>9369</v>
      </c>
      <c r="AU1204" t="s">
        <v>9511</v>
      </c>
      <c r="AV1204">
        <v>28.05</v>
      </c>
      <c r="AW1204" t="s">
        <v>76</v>
      </c>
    </row>
    <row r="1205" spans="1:49">
      <c r="A1205" s="1">
        <f>HYPERLINK("https://cms.ls-nyc.org/matter/dynamic-profile/view/1883208","18-1883208")</f>
        <v>0</v>
      </c>
      <c r="B1205" t="s">
        <v>76</v>
      </c>
      <c r="C1205" t="s">
        <v>83</v>
      </c>
      <c r="D1205" t="s">
        <v>139</v>
      </c>
      <c r="F1205" t="s">
        <v>1167</v>
      </c>
      <c r="G1205" t="s">
        <v>2247</v>
      </c>
      <c r="H1205" t="s">
        <v>2786</v>
      </c>
      <c r="I1205" t="s">
        <v>4151</v>
      </c>
      <c r="J1205" t="s">
        <v>4222</v>
      </c>
      <c r="K1205">
        <v>11434</v>
      </c>
      <c r="L1205" t="s">
        <v>4275</v>
      </c>
      <c r="M1205" t="s">
        <v>4275</v>
      </c>
      <c r="O1205" t="s">
        <v>4281</v>
      </c>
      <c r="P1205" t="s">
        <v>5359</v>
      </c>
      <c r="Q1205" t="s">
        <v>5732</v>
      </c>
      <c r="R1205" t="s">
        <v>5751</v>
      </c>
      <c r="T1205" t="s">
        <v>4276</v>
      </c>
      <c r="V1205" t="s">
        <v>5767</v>
      </c>
      <c r="W1205" t="s">
        <v>5772</v>
      </c>
      <c r="X1205" t="s">
        <v>202</v>
      </c>
      <c r="Y1205">
        <v>670</v>
      </c>
      <c r="Z1205" t="s">
        <v>5803</v>
      </c>
      <c r="AA1205" t="s">
        <v>5805</v>
      </c>
      <c r="AC1205" t="s">
        <v>6929</v>
      </c>
      <c r="AE1205" t="s">
        <v>8911</v>
      </c>
      <c r="AF1205">
        <v>0</v>
      </c>
      <c r="AG1205" t="s">
        <v>9273</v>
      </c>
      <c r="AI1205">
        <v>16</v>
      </c>
      <c r="AJ1205">
        <v>1</v>
      </c>
      <c r="AK1205">
        <v>0</v>
      </c>
      <c r="AL1205">
        <v>0</v>
      </c>
      <c r="AO1205" t="s">
        <v>1425</v>
      </c>
      <c r="AP1205">
        <v>0</v>
      </c>
      <c r="AV1205">
        <v>43.3</v>
      </c>
      <c r="AW1205" t="s">
        <v>54</v>
      </c>
    </row>
    <row r="1206" spans="1:49">
      <c r="A1206" s="1">
        <f>HYPERLINK("https://cms.ls-nyc.org/matter/dynamic-profile/view/1883124","18-1883124")</f>
        <v>0</v>
      </c>
      <c r="B1206" t="s">
        <v>76</v>
      </c>
      <c r="C1206" t="s">
        <v>83</v>
      </c>
      <c r="D1206" t="s">
        <v>139</v>
      </c>
      <c r="F1206" t="s">
        <v>930</v>
      </c>
      <c r="G1206" t="s">
        <v>1607</v>
      </c>
      <c r="H1206" t="s">
        <v>3522</v>
      </c>
      <c r="I1206" t="s">
        <v>3927</v>
      </c>
      <c r="J1206" t="s">
        <v>4222</v>
      </c>
      <c r="K1206">
        <v>11433</v>
      </c>
      <c r="L1206" t="s">
        <v>4275</v>
      </c>
      <c r="M1206" t="s">
        <v>4275</v>
      </c>
      <c r="O1206" t="s">
        <v>4282</v>
      </c>
      <c r="P1206" t="s">
        <v>5360</v>
      </c>
      <c r="Q1206" t="s">
        <v>5732</v>
      </c>
      <c r="R1206" t="s">
        <v>5751</v>
      </c>
      <c r="T1206" t="s">
        <v>4276</v>
      </c>
      <c r="V1206" t="s">
        <v>5767</v>
      </c>
      <c r="Y1206">
        <v>600</v>
      </c>
      <c r="Z1206" t="s">
        <v>5803</v>
      </c>
      <c r="AA1206" t="s">
        <v>5805</v>
      </c>
      <c r="AC1206" t="s">
        <v>6930</v>
      </c>
      <c r="AE1206" t="s">
        <v>8912</v>
      </c>
      <c r="AF1206">
        <v>3</v>
      </c>
      <c r="AG1206" t="s">
        <v>9270</v>
      </c>
      <c r="AH1206" t="s">
        <v>4280</v>
      </c>
      <c r="AI1206">
        <v>-1</v>
      </c>
      <c r="AJ1206">
        <v>1</v>
      </c>
      <c r="AK1206">
        <v>0</v>
      </c>
      <c r="AL1206">
        <v>0</v>
      </c>
      <c r="AO1206" t="s">
        <v>1425</v>
      </c>
      <c r="AP1206">
        <v>0</v>
      </c>
      <c r="AR1206" t="s">
        <v>9329</v>
      </c>
      <c r="AS1206" t="s">
        <v>9336</v>
      </c>
      <c r="AT1206" t="s">
        <v>9369</v>
      </c>
      <c r="AU1206" t="s">
        <v>9437</v>
      </c>
      <c r="AV1206">
        <v>11.55</v>
      </c>
      <c r="AW1206" t="s">
        <v>54</v>
      </c>
    </row>
    <row r="1207" spans="1:49">
      <c r="A1207" s="1">
        <f>HYPERLINK("https://cms.ls-nyc.org/matter/dynamic-profile/view/1869927","18-1869927")</f>
        <v>0</v>
      </c>
      <c r="B1207" t="s">
        <v>76</v>
      </c>
      <c r="C1207" t="s">
        <v>83</v>
      </c>
      <c r="D1207" t="s">
        <v>281</v>
      </c>
      <c r="F1207" t="s">
        <v>1168</v>
      </c>
      <c r="G1207" t="s">
        <v>2248</v>
      </c>
      <c r="H1207" t="s">
        <v>3523</v>
      </c>
      <c r="J1207" t="s">
        <v>4236</v>
      </c>
      <c r="K1207">
        <v>11417</v>
      </c>
      <c r="L1207" t="s">
        <v>4275</v>
      </c>
      <c r="M1207" t="s">
        <v>4275</v>
      </c>
      <c r="O1207" t="s">
        <v>4282</v>
      </c>
      <c r="P1207" t="s">
        <v>5361</v>
      </c>
      <c r="Q1207" t="s">
        <v>5732</v>
      </c>
      <c r="R1207" t="s">
        <v>5753</v>
      </c>
      <c r="T1207" t="s">
        <v>4276</v>
      </c>
      <c r="V1207" t="s">
        <v>5767</v>
      </c>
      <c r="W1207" t="s">
        <v>5772</v>
      </c>
      <c r="X1207" t="s">
        <v>5801</v>
      </c>
      <c r="Y1207">
        <v>550</v>
      </c>
      <c r="Z1207" t="s">
        <v>5803</v>
      </c>
      <c r="AA1207" t="s">
        <v>5804</v>
      </c>
      <c r="AC1207" t="s">
        <v>6931</v>
      </c>
      <c r="AE1207" t="s">
        <v>8913</v>
      </c>
      <c r="AF1207">
        <v>3</v>
      </c>
      <c r="AG1207" t="s">
        <v>9269</v>
      </c>
      <c r="AH1207" t="s">
        <v>4280</v>
      </c>
      <c r="AI1207">
        <v>3</v>
      </c>
      <c r="AJ1207">
        <v>1</v>
      </c>
      <c r="AK1207">
        <v>0</v>
      </c>
      <c r="AL1207">
        <v>0</v>
      </c>
      <c r="AO1207" t="s">
        <v>1425</v>
      </c>
      <c r="AP1207">
        <v>0</v>
      </c>
      <c r="AV1207">
        <v>0.5</v>
      </c>
      <c r="AW1207" t="s">
        <v>76</v>
      </c>
    </row>
    <row r="1208" spans="1:49">
      <c r="A1208" s="1">
        <f>HYPERLINK("https://cms.ls-nyc.org/matter/dynamic-profile/view/1883001","18-1883001")</f>
        <v>0</v>
      </c>
      <c r="B1208" t="s">
        <v>76</v>
      </c>
      <c r="C1208" t="s">
        <v>83</v>
      </c>
      <c r="D1208" t="s">
        <v>223</v>
      </c>
      <c r="F1208" t="s">
        <v>1169</v>
      </c>
      <c r="G1208" t="s">
        <v>2249</v>
      </c>
      <c r="H1208" t="s">
        <v>3524</v>
      </c>
      <c r="I1208" t="s">
        <v>3878</v>
      </c>
      <c r="J1208" t="s">
        <v>4250</v>
      </c>
      <c r="K1208">
        <v>11412</v>
      </c>
      <c r="L1208" t="s">
        <v>4275</v>
      </c>
      <c r="M1208" t="s">
        <v>4275</v>
      </c>
      <c r="O1208" t="s">
        <v>4282</v>
      </c>
      <c r="P1208" t="s">
        <v>5362</v>
      </c>
      <c r="Q1208" t="s">
        <v>5732</v>
      </c>
      <c r="R1208" t="s">
        <v>5753</v>
      </c>
      <c r="T1208" t="s">
        <v>4276</v>
      </c>
      <c r="V1208" t="s">
        <v>5767</v>
      </c>
      <c r="W1208" t="s">
        <v>5772</v>
      </c>
      <c r="X1208" t="s">
        <v>223</v>
      </c>
      <c r="Y1208">
        <v>600</v>
      </c>
      <c r="Z1208" t="s">
        <v>5803</v>
      </c>
      <c r="AA1208" t="s">
        <v>5804</v>
      </c>
      <c r="AC1208" t="s">
        <v>6932</v>
      </c>
      <c r="AE1208" t="s">
        <v>8914</v>
      </c>
      <c r="AF1208">
        <v>5</v>
      </c>
      <c r="AG1208" t="s">
        <v>9269</v>
      </c>
      <c r="AH1208" t="s">
        <v>4280</v>
      </c>
      <c r="AI1208">
        <v>1</v>
      </c>
      <c r="AJ1208">
        <v>2</v>
      </c>
      <c r="AK1208">
        <v>0</v>
      </c>
      <c r="AL1208">
        <v>0</v>
      </c>
      <c r="AO1208" t="s">
        <v>1425</v>
      </c>
      <c r="AP1208">
        <v>0</v>
      </c>
      <c r="AV1208">
        <v>1.2</v>
      </c>
      <c r="AW1208" t="s">
        <v>73</v>
      </c>
    </row>
    <row r="1209" spans="1:49">
      <c r="A1209" s="1">
        <f>HYPERLINK("https://cms.ls-nyc.org/matter/dynamic-profile/view/1891274","19-1891274")</f>
        <v>0</v>
      </c>
      <c r="B1209" t="s">
        <v>76</v>
      </c>
      <c r="C1209" t="s">
        <v>83</v>
      </c>
      <c r="D1209" t="s">
        <v>167</v>
      </c>
      <c r="F1209" t="s">
        <v>483</v>
      </c>
      <c r="G1209" t="s">
        <v>1453</v>
      </c>
      <c r="H1209" t="s">
        <v>3525</v>
      </c>
      <c r="J1209" t="s">
        <v>4226</v>
      </c>
      <c r="K1209">
        <v>11385</v>
      </c>
      <c r="L1209" t="s">
        <v>4275</v>
      </c>
      <c r="M1209" t="s">
        <v>4275</v>
      </c>
      <c r="O1209" t="s">
        <v>4281</v>
      </c>
      <c r="P1209" t="s">
        <v>5363</v>
      </c>
      <c r="Q1209" t="s">
        <v>5731</v>
      </c>
      <c r="R1209" t="s">
        <v>5751</v>
      </c>
      <c r="T1209" t="s">
        <v>4276</v>
      </c>
      <c r="V1209" t="s">
        <v>5767</v>
      </c>
      <c r="W1209" t="s">
        <v>5774</v>
      </c>
      <c r="X1209" t="s">
        <v>167</v>
      </c>
      <c r="Y1209">
        <v>1624</v>
      </c>
      <c r="Z1209" t="s">
        <v>5803</v>
      </c>
      <c r="AA1209" t="s">
        <v>5804</v>
      </c>
      <c r="AC1209" t="s">
        <v>6933</v>
      </c>
      <c r="AD1209" t="s">
        <v>7726</v>
      </c>
      <c r="AE1209" t="s">
        <v>8915</v>
      </c>
      <c r="AF1209">
        <v>6</v>
      </c>
      <c r="AG1209" t="s">
        <v>9272</v>
      </c>
      <c r="AH1209" t="s">
        <v>9282</v>
      </c>
      <c r="AI1209">
        <v>9</v>
      </c>
      <c r="AJ1209">
        <v>2</v>
      </c>
      <c r="AK1209">
        <v>0</v>
      </c>
      <c r="AL1209">
        <v>0</v>
      </c>
      <c r="AO1209" t="s">
        <v>1425</v>
      </c>
      <c r="AP1209">
        <v>0</v>
      </c>
      <c r="AV1209">
        <v>15.75</v>
      </c>
      <c r="AW1209" t="s">
        <v>59</v>
      </c>
    </row>
    <row r="1210" spans="1:49">
      <c r="A1210" s="1">
        <f>HYPERLINK("https://cms.ls-nyc.org/matter/dynamic-profile/view/1883069","18-1883069")</f>
        <v>0</v>
      </c>
      <c r="B1210" t="s">
        <v>76</v>
      </c>
      <c r="C1210" t="s">
        <v>83</v>
      </c>
      <c r="D1210" t="s">
        <v>223</v>
      </c>
      <c r="F1210" t="s">
        <v>1170</v>
      </c>
      <c r="G1210" t="s">
        <v>799</v>
      </c>
      <c r="H1210" t="s">
        <v>3526</v>
      </c>
      <c r="I1210" t="s">
        <v>3864</v>
      </c>
      <c r="J1210" t="s">
        <v>4227</v>
      </c>
      <c r="K1210">
        <v>11366</v>
      </c>
      <c r="L1210" t="s">
        <v>4275</v>
      </c>
      <c r="M1210" t="s">
        <v>4275</v>
      </c>
      <c r="O1210" t="s">
        <v>4282</v>
      </c>
      <c r="P1210" t="s">
        <v>5364</v>
      </c>
      <c r="Q1210" t="s">
        <v>5731</v>
      </c>
      <c r="R1210" t="s">
        <v>5753</v>
      </c>
      <c r="T1210" t="s">
        <v>4276</v>
      </c>
      <c r="V1210" t="s">
        <v>5767</v>
      </c>
      <c r="W1210" t="s">
        <v>5772</v>
      </c>
      <c r="X1210" t="s">
        <v>223</v>
      </c>
      <c r="Y1210">
        <v>1600</v>
      </c>
      <c r="Z1210" t="s">
        <v>5803</v>
      </c>
      <c r="AA1210" t="s">
        <v>5804</v>
      </c>
      <c r="AC1210" t="s">
        <v>6934</v>
      </c>
      <c r="AE1210" t="s">
        <v>8916</v>
      </c>
      <c r="AF1210">
        <v>2</v>
      </c>
      <c r="AH1210" t="s">
        <v>4280</v>
      </c>
      <c r="AI1210">
        <v>5</v>
      </c>
      <c r="AJ1210">
        <v>1</v>
      </c>
      <c r="AK1210">
        <v>0</v>
      </c>
      <c r="AL1210">
        <v>0</v>
      </c>
      <c r="AO1210" t="s">
        <v>1425</v>
      </c>
      <c r="AP1210">
        <v>0</v>
      </c>
      <c r="AV1210">
        <v>1</v>
      </c>
      <c r="AW1210" t="s">
        <v>73</v>
      </c>
    </row>
    <row r="1211" spans="1:49">
      <c r="A1211" s="1">
        <f>HYPERLINK("https://cms.ls-nyc.org/matter/dynamic-profile/view/1878725","18-1878725")</f>
        <v>0</v>
      </c>
      <c r="B1211" t="s">
        <v>76</v>
      </c>
      <c r="C1211" t="s">
        <v>83</v>
      </c>
      <c r="D1211" t="s">
        <v>147</v>
      </c>
      <c r="F1211" t="s">
        <v>388</v>
      </c>
      <c r="G1211" t="s">
        <v>1385</v>
      </c>
      <c r="H1211" t="s">
        <v>3527</v>
      </c>
      <c r="I1211" t="s">
        <v>3890</v>
      </c>
      <c r="J1211" t="s">
        <v>4229</v>
      </c>
      <c r="K1211">
        <v>11358</v>
      </c>
      <c r="L1211" t="s">
        <v>4275</v>
      </c>
      <c r="M1211" t="s">
        <v>4275</v>
      </c>
      <c r="O1211" t="s">
        <v>4282</v>
      </c>
      <c r="P1211" t="s">
        <v>5365</v>
      </c>
      <c r="Q1211" t="s">
        <v>5734</v>
      </c>
      <c r="R1211" t="s">
        <v>5753</v>
      </c>
      <c r="T1211" t="s">
        <v>4276</v>
      </c>
      <c r="V1211" t="s">
        <v>5767</v>
      </c>
      <c r="W1211" t="s">
        <v>5772</v>
      </c>
      <c r="X1211" t="s">
        <v>147</v>
      </c>
      <c r="Y1211">
        <v>1900</v>
      </c>
      <c r="Z1211" t="s">
        <v>5803</v>
      </c>
      <c r="AA1211" t="s">
        <v>5804</v>
      </c>
      <c r="AC1211" t="s">
        <v>6935</v>
      </c>
      <c r="AE1211" t="s">
        <v>8917</v>
      </c>
      <c r="AF1211">
        <v>5</v>
      </c>
      <c r="AG1211" t="s">
        <v>9269</v>
      </c>
      <c r="AH1211" t="s">
        <v>4280</v>
      </c>
      <c r="AI1211">
        <v>1</v>
      </c>
      <c r="AJ1211">
        <v>1</v>
      </c>
      <c r="AK1211">
        <v>0</v>
      </c>
      <c r="AL1211">
        <v>0</v>
      </c>
      <c r="AO1211" t="s">
        <v>9298</v>
      </c>
      <c r="AP1211">
        <v>0</v>
      </c>
      <c r="AV1211">
        <v>1.25</v>
      </c>
      <c r="AW1211" t="s">
        <v>73</v>
      </c>
    </row>
    <row r="1212" spans="1:49">
      <c r="A1212" s="1">
        <f>HYPERLINK("https://cms.ls-nyc.org/matter/dynamic-profile/view/1890257","19-1890257")</f>
        <v>0</v>
      </c>
      <c r="B1212" t="s">
        <v>76</v>
      </c>
      <c r="C1212" t="s">
        <v>83</v>
      </c>
      <c r="D1212" t="s">
        <v>127</v>
      </c>
      <c r="F1212" t="s">
        <v>344</v>
      </c>
      <c r="G1212" t="s">
        <v>2250</v>
      </c>
      <c r="H1212" t="s">
        <v>3528</v>
      </c>
      <c r="I1212">
        <v>2</v>
      </c>
      <c r="J1212" t="s">
        <v>4235</v>
      </c>
      <c r="K1212">
        <v>11421</v>
      </c>
      <c r="L1212" t="s">
        <v>4277</v>
      </c>
      <c r="M1212" t="s">
        <v>4277</v>
      </c>
      <c r="O1212" t="s">
        <v>4282</v>
      </c>
      <c r="P1212" t="s">
        <v>5366</v>
      </c>
      <c r="Q1212" t="s">
        <v>5732</v>
      </c>
      <c r="V1212" t="s">
        <v>5767</v>
      </c>
      <c r="Y1212">
        <v>750</v>
      </c>
      <c r="Z1212" t="s">
        <v>5803</v>
      </c>
      <c r="AA1212" t="s">
        <v>5804</v>
      </c>
      <c r="AC1212" t="s">
        <v>6936</v>
      </c>
      <c r="AE1212" t="s">
        <v>8918</v>
      </c>
      <c r="AF1212">
        <v>1</v>
      </c>
      <c r="AG1212" t="s">
        <v>9269</v>
      </c>
      <c r="AH1212" t="s">
        <v>4280</v>
      </c>
      <c r="AI1212">
        <v>5</v>
      </c>
      <c r="AJ1212">
        <v>1</v>
      </c>
      <c r="AK1212">
        <v>0</v>
      </c>
      <c r="AL1212">
        <v>17.29</v>
      </c>
      <c r="AO1212" t="s">
        <v>1425</v>
      </c>
      <c r="AP1212">
        <v>2160</v>
      </c>
      <c r="AV1212">
        <v>1</v>
      </c>
      <c r="AW1212" t="s">
        <v>74</v>
      </c>
    </row>
    <row r="1213" spans="1:49">
      <c r="A1213" s="1">
        <f>HYPERLINK("https://cms.ls-nyc.org/matter/dynamic-profile/view/1884973","18-1884973")</f>
        <v>0</v>
      </c>
      <c r="B1213" t="s">
        <v>76</v>
      </c>
      <c r="C1213" t="s">
        <v>83</v>
      </c>
      <c r="D1213" t="s">
        <v>190</v>
      </c>
      <c r="F1213" t="s">
        <v>431</v>
      </c>
      <c r="G1213" t="s">
        <v>1955</v>
      </c>
      <c r="H1213" t="s">
        <v>3529</v>
      </c>
      <c r="I1213" t="s">
        <v>3934</v>
      </c>
      <c r="J1213" t="s">
        <v>4241</v>
      </c>
      <c r="K1213">
        <v>11368</v>
      </c>
      <c r="L1213" t="s">
        <v>4275</v>
      </c>
      <c r="M1213" t="s">
        <v>4275</v>
      </c>
      <c r="O1213" t="s">
        <v>4282</v>
      </c>
      <c r="P1213" t="s">
        <v>5367</v>
      </c>
      <c r="Q1213" t="s">
        <v>5731</v>
      </c>
      <c r="R1213" t="s">
        <v>5753</v>
      </c>
      <c r="T1213" t="s">
        <v>4276</v>
      </c>
      <c r="V1213" t="s">
        <v>5767</v>
      </c>
      <c r="W1213" t="s">
        <v>5772</v>
      </c>
      <c r="X1213" t="s">
        <v>190</v>
      </c>
      <c r="Y1213">
        <v>1500</v>
      </c>
      <c r="Z1213" t="s">
        <v>5803</v>
      </c>
      <c r="AA1213" t="s">
        <v>5804</v>
      </c>
      <c r="AC1213" t="s">
        <v>6937</v>
      </c>
      <c r="AD1213" t="s">
        <v>7727</v>
      </c>
      <c r="AE1213" t="s">
        <v>8919</v>
      </c>
      <c r="AF1213">
        <v>12</v>
      </c>
      <c r="AH1213" t="s">
        <v>4280</v>
      </c>
      <c r="AI1213">
        <v>8</v>
      </c>
      <c r="AJ1213">
        <v>2</v>
      </c>
      <c r="AK1213">
        <v>0</v>
      </c>
      <c r="AL1213">
        <v>20.14</v>
      </c>
      <c r="AO1213" t="s">
        <v>9298</v>
      </c>
      <c r="AP1213">
        <v>3315</v>
      </c>
      <c r="AV1213">
        <v>1.7</v>
      </c>
      <c r="AW1213" t="s">
        <v>74</v>
      </c>
    </row>
    <row r="1214" spans="1:49">
      <c r="A1214" s="1">
        <f>HYPERLINK("https://cms.ls-nyc.org/matter/dynamic-profile/view/1888981","19-1888981")</f>
        <v>0</v>
      </c>
      <c r="B1214" t="s">
        <v>76</v>
      </c>
      <c r="C1214" t="s">
        <v>83</v>
      </c>
      <c r="D1214" t="s">
        <v>88</v>
      </c>
      <c r="F1214" t="s">
        <v>1171</v>
      </c>
      <c r="G1214" t="s">
        <v>2251</v>
      </c>
      <c r="H1214" t="s">
        <v>3530</v>
      </c>
      <c r="I1214" t="s">
        <v>3856</v>
      </c>
      <c r="J1214" t="s">
        <v>4251</v>
      </c>
      <c r="K1214">
        <v>11377</v>
      </c>
      <c r="L1214" t="s">
        <v>4275</v>
      </c>
      <c r="M1214" t="s">
        <v>4275</v>
      </c>
      <c r="O1214" t="s">
        <v>4282</v>
      </c>
      <c r="P1214" t="s">
        <v>5368</v>
      </c>
      <c r="Q1214" t="s">
        <v>5731</v>
      </c>
      <c r="R1214" t="s">
        <v>5752</v>
      </c>
      <c r="T1214" t="s">
        <v>4276</v>
      </c>
      <c r="V1214" t="s">
        <v>5767</v>
      </c>
      <c r="Y1214">
        <v>600</v>
      </c>
      <c r="Z1214" t="s">
        <v>5803</v>
      </c>
      <c r="AA1214" t="s">
        <v>5804</v>
      </c>
      <c r="AC1214" t="s">
        <v>6938</v>
      </c>
      <c r="AE1214" t="s">
        <v>8920</v>
      </c>
      <c r="AF1214">
        <v>0</v>
      </c>
      <c r="AG1214" t="s">
        <v>9270</v>
      </c>
      <c r="AH1214" t="s">
        <v>4280</v>
      </c>
      <c r="AI1214">
        <v>-1</v>
      </c>
      <c r="AJ1214">
        <v>1</v>
      </c>
      <c r="AK1214">
        <v>2</v>
      </c>
      <c r="AL1214">
        <v>23.65</v>
      </c>
      <c r="AO1214" t="s">
        <v>9298</v>
      </c>
      <c r="AP1214">
        <v>5044</v>
      </c>
      <c r="AV1214">
        <v>2.1</v>
      </c>
      <c r="AW1214" t="s">
        <v>54</v>
      </c>
    </row>
    <row r="1215" spans="1:49">
      <c r="A1215" s="1">
        <f>HYPERLINK("https://cms.ls-nyc.org/matter/dynamic-profile/view/1896624","19-1896624")</f>
        <v>0</v>
      </c>
      <c r="B1215" t="s">
        <v>76</v>
      </c>
      <c r="C1215" t="s">
        <v>83</v>
      </c>
      <c r="D1215" t="s">
        <v>117</v>
      </c>
      <c r="F1215" t="s">
        <v>942</v>
      </c>
      <c r="G1215" t="s">
        <v>1925</v>
      </c>
      <c r="H1215" t="s">
        <v>3531</v>
      </c>
      <c r="I1215" t="s">
        <v>4152</v>
      </c>
      <c r="J1215" t="s">
        <v>4223</v>
      </c>
      <c r="K1215">
        <v>11423</v>
      </c>
      <c r="L1215" t="s">
        <v>4275</v>
      </c>
      <c r="M1215" t="s">
        <v>4275</v>
      </c>
      <c r="O1215" t="s">
        <v>4282</v>
      </c>
      <c r="P1215" t="s">
        <v>5369</v>
      </c>
      <c r="Q1215" t="s">
        <v>5731</v>
      </c>
      <c r="R1215" t="s">
        <v>5753</v>
      </c>
      <c r="T1215" t="s">
        <v>4276</v>
      </c>
      <c r="V1215" t="s">
        <v>5767</v>
      </c>
      <c r="W1215" t="s">
        <v>5772</v>
      </c>
      <c r="X1215" t="s">
        <v>117</v>
      </c>
      <c r="Y1215">
        <v>1776.25</v>
      </c>
      <c r="Z1215" t="s">
        <v>5803</v>
      </c>
      <c r="AA1215" t="s">
        <v>5804</v>
      </c>
      <c r="AC1215" t="s">
        <v>6939</v>
      </c>
      <c r="AD1215" t="s">
        <v>7728</v>
      </c>
      <c r="AE1215" t="s">
        <v>8921</v>
      </c>
      <c r="AF1215">
        <v>2</v>
      </c>
      <c r="AG1215" t="s">
        <v>9272</v>
      </c>
      <c r="AH1215" t="s">
        <v>9286</v>
      </c>
      <c r="AI1215">
        <v>1</v>
      </c>
      <c r="AJ1215">
        <v>1</v>
      </c>
      <c r="AK1215">
        <v>4</v>
      </c>
      <c r="AL1215">
        <v>27.05</v>
      </c>
      <c r="AO1215" t="s">
        <v>1425</v>
      </c>
      <c r="AP1215">
        <v>8160</v>
      </c>
      <c r="AV1215">
        <v>2.6</v>
      </c>
      <c r="AW1215" t="s">
        <v>54</v>
      </c>
    </row>
    <row r="1216" spans="1:49">
      <c r="A1216" s="1">
        <f>HYPERLINK("https://cms.ls-nyc.org/matter/dynamic-profile/view/1892991","19-1892991")</f>
        <v>0</v>
      </c>
      <c r="B1216" t="s">
        <v>76</v>
      </c>
      <c r="C1216" t="s">
        <v>83</v>
      </c>
      <c r="D1216" t="s">
        <v>114</v>
      </c>
      <c r="F1216" t="s">
        <v>1172</v>
      </c>
      <c r="G1216" t="s">
        <v>2252</v>
      </c>
      <c r="H1216" t="s">
        <v>3532</v>
      </c>
      <c r="I1216" t="s">
        <v>3866</v>
      </c>
      <c r="J1216" t="s">
        <v>4258</v>
      </c>
      <c r="K1216">
        <v>11370</v>
      </c>
      <c r="L1216" t="s">
        <v>4275</v>
      </c>
      <c r="M1216" t="s">
        <v>4275</v>
      </c>
      <c r="N1216" t="s">
        <v>4279</v>
      </c>
      <c r="O1216" t="s">
        <v>4282</v>
      </c>
      <c r="P1216" t="s">
        <v>5370</v>
      </c>
      <c r="Q1216" t="s">
        <v>5732</v>
      </c>
      <c r="R1216" t="s">
        <v>5753</v>
      </c>
      <c r="T1216" t="s">
        <v>4276</v>
      </c>
      <c r="V1216" t="s">
        <v>5767</v>
      </c>
      <c r="X1216" t="s">
        <v>114</v>
      </c>
      <c r="Y1216">
        <v>1800</v>
      </c>
      <c r="Z1216" t="s">
        <v>5803</v>
      </c>
      <c r="AA1216" t="s">
        <v>5804</v>
      </c>
      <c r="AC1216" t="s">
        <v>6212</v>
      </c>
      <c r="AD1216" t="s">
        <v>7729</v>
      </c>
      <c r="AE1216" t="s">
        <v>8922</v>
      </c>
      <c r="AF1216">
        <v>3</v>
      </c>
      <c r="AG1216" t="s">
        <v>9270</v>
      </c>
      <c r="AH1216" t="s">
        <v>4280</v>
      </c>
      <c r="AI1216">
        <v>8</v>
      </c>
      <c r="AJ1216">
        <v>1</v>
      </c>
      <c r="AK1216">
        <v>2</v>
      </c>
      <c r="AL1216">
        <v>27.85</v>
      </c>
      <c r="AO1216" t="s">
        <v>1425</v>
      </c>
      <c r="AP1216">
        <v>5940</v>
      </c>
      <c r="AV1216">
        <v>1.6</v>
      </c>
      <c r="AW1216" t="s">
        <v>54</v>
      </c>
    </row>
    <row r="1217" spans="1:49">
      <c r="A1217" s="1">
        <f>HYPERLINK("https://cms.ls-nyc.org/matter/dynamic-profile/view/1871546","18-1871546")</f>
        <v>0</v>
      </c>
      <c r="B1217" t="s">
        <v>76</v>
      </c>
      <c r="C1217" t="s">
        <v>82</v>
      </c>
      <c r="D1217" t="s">
        <v>102</v>
      </c>
      <c r="E1217" t="s">
        <v>313</v>
      </c>
      <c r="F1217" t="s">
        <v>556</v>
      </c>
      <c r="G1217" t="s">
        <v>1588</v>
      </c>
      <c r="H1217" t="s">
        <v>3533</v>
      </c>
      <c r="I1217">
        <v>3</v>
      </c>
      <c r="J1217" t="s">
        <v>4256</v>
      </c>
      <c r="K1217">
        <v>11411</v>
      </c>
      <c r="L1217" t="s">
        <v>4275</v>
      </c>
      <c r="M1217" t="s">
        <v>4275</v>
      </c>
      <c r="O1217" t="s">
        <v>4282</v>
      </c>
      <c r="P1217" t="s">
        <v>5371</v>
      </c>
      <c r="Q1217" t="s">
        <v>5732</v>
      </c>
      <c r="R1217" t="s">
        <v>5751</v>
      </c>
      <c r="S1217" t="s">
        <v>5758</v>
      </c>
      <c r="T1217" t="s">
        <v>4276</v>
      </c>
      <c r="V1217" t="s">
        <v>5767</v>
      </c>
      <c r="W1217" t="s">
        <v>5772</v>
      </c>
      <c r="X1217" t="s">
        <v>102</v>
      </c>
      <c r="Y1217">
        <v>1575</v>
      </c>
      <c r="Z1217" t="s">
        <v>5803</v>
      </c>
      <c r="AA1217" t="s">
        <v>5804</v>
      </c>
      <c r="AB1217" t="s">
        <v>5822</v>
      </c>
      <c r="AC1217" t="s">
        <v>6940</v>
      </c>
      <c r="AD1217" t="s">
        <v>7730</v>
      </c>
      <c r="AE1217" t="s">
        <v>8923</v>
      </c>
      <c r="AF1217">
        <v>3</v>
      </c>
      <c r="AG1217" t="s">
        <v>9269</v>
      </c>
      <c r="AH1217" t="s">
        <v>9282</v>
      </c>
      <c r="AI1217">
        <v>9</v>
      </c>
      <c r="AJ1217">
        <v>1</v>
      </c>
      <c r="AK1217">
        <v>3</v>
      </c>
      <c r="AL1217">
        <v>28.69</v>
      </c>
      <c r="AN1217" t="s">
        <v>9294</v>
      </c>
      <c r="AO1217" t="s">
        <v>1425</v>
      </c>
      <c r="AP1217">
        <v>7200</v>
      </c>
      <c r="AR1217" t="s">
        <v>9326</v>
      </c>
      <c r="AS1217" t="s">
        <v>9344</v>
      </c>
      <c r="AT1217" t="s">
        <v>9370</v>
      </c>
      <c r="AU1217" t="s">
        <v>9532</v>
      </c>
      <c r="AV1217">
        <v>26.6</v>
      </c>
      <c r="AW1217" t="s">
        <v>54</v>
      </c>
    </row>
    <row r="1218" spans="1:49">
      <c r="A1218" s="1">
        <f>HYPERLINK("https://cms.ls-nyc.org/matter/dynamic-profile/view/1894483","19-1894483")</f>
        <v>0</v>
      </c>
      <c r="B1218" t="s">
        <v>76</v>
      </c>
      <c r="C1218" t="s">
        <v>83</v>
      </c>
      <c r="D1218" t="s">
        <v>169</v>
      </c>
      <c r="F1218" t="s">
        <v>794</v>
      </c>
      <c r="G1218" t="s">
        <v>2197</v>
      </c>
      <c r="H1218" t="s">
        <v>3534</v>
      </c>
      <c r="I1218" t="s">
        <v>3866</v>
      </c>
      <c r="J1218" t="s">
        <v>4241</v>
      </c>
      <c r="K1218">
        <v>11368</v>
      </c>
      <c r="L1218" t="s">
        <v>4275</v>
      </c>
      <c r="M1218" t="s">
        <v>4275</v>
      </c>
      <c r="O1218" t="s">
        <v>4282</v>
      </c>
      <c r="P1218" t="s">
        <v>5372</v>
      </c>
      <c r="Q1218" t="s">
        <v>5732</v>
      </c>
      <c r="R1218" t="s">
        <v>5753</v>
      </c>
      <c r="T1218" t="s">
        <v>4276</v>
      </c>
      <c r="V1218" t="s">
        <v>5767</v>
      </c>
      <c r="W1218" t="s">
        <v>5774</v>
      </c>
      <c r="X1218" t="s">
        <v>169</v>
      </c>
      <c r="Y1218">
        <v>1200</v>
      </c>
      <c r="Z1218" t="s">
        <v>5803</v>
      </c>
      <c r="AA1218" t="s">
        <v>5804</v>
      </c>
      <c r="AC1218" t="s">
        <v>6941</v>
      </c>
      <c r="AE1218" t="s">
        <v>8924</v>
      </c>
      <c r="AF1218">
        <v>5</v>
      </c>
      <c r="AG1218" t="s">
        <v>9270</v>
      </c>
      <c r="AH1218" t="s">
        <v>4280</v>
      </c>
      <c r="AI1218">
        <v>2</v>
      </c>
      <c r="AJ1218">
        <v>1</v>
      </c>
      <c r="AK1218">
        <v>2</v>
      </c>
      <c r="AL1218">
        <v>34.86</v>
      </c>
      <c r="AO1218" t="s">
        <v>9298</v>
      </c>
      <c r="AP1218">
        <v>7436</v>
      </c>
      <c r="AV1218">
        <v>1.2</v>
      </c>
      <c r="AW1218" t="s">
        <v>54</v>
      </c>
    </row>
    <row r="1219" spans="1:49">
      <c r="A1219" s="1">
        <f>HYPERLINK("https://cms.ls-nyc.org/matter/dynamic-profile/view/1882719","18-1882719")</f>
        <v>0</v>
      </c>
      <c r="B1219" t="s">
        <v>76</v>
      </c>
      <c r="C1219" t="s">
        <v>82</v>
      </c>
      <c r="D1219" t="s">
        <v>111</v>
      </c>
      <c r="E1219" t="s">
        <v>93</v>
      </c>
      <c r="F1219" t="s">
        <v>1173</v>
      </c>
      <c r="G1219" t="s">
        <v>2253</v>
      </c>
      <c r="H1219" t="s">
        <v>3535</v>
      </c>
      <c r="I1219" t="s">
        <v>4033</v>
      </c>
      <c r="J1219" t="s">
        <v>4240</v>
      </c>
      <c r="K1219">
        <v>11373</v>
      </c>
      <c r="L1219" t="s">
        <v>4275</v>
      </c>
      <c r="M1219" t="s">
        <v>4275</v>
      </c>
      <c r="O1219" t="s">
        <v>4281</v>
      </c>
      <c r="P1219" t="s">
        <v>5373</v>
      </c>
      <c r="Q1219" t="s">
        <v>5731</v>
      </c>
      <c r="R1219" t="s">
        <v>5751</v>
      </c>
      <c r="S1219" t="s">
        <v>5758</v>
      </c>
      <c r="T1219" t="s">
        <v>4276</v>
      </c>
      <c r="V1219" t="s">
        <v>5767</v>
      </c>
      <c r="W1219" t="s">
        <v>5772</v>
      </c>
      <c r="X1219" t="s">
        <v>111</v>
      </c>
      <c r="Y1219">
        <v>847.03</v>
      </c>
      <c r="Z1219" t="s">
        <v>5803</v>
      </c>
      <c r="AA1219" t="s">
        <v>5804</v>
      </c>
      <c r="AB1219" t="s">
        <v>5820</v>
      </c>
      <c r="AC1219" t="s">
        <v>6942</v>
      </c>
      <c r="AD1219" t="s">
        <v>7731</v>
      </c>
      <c r="AE1219" t="s">
        <v>8925</v>
      </c>
      <c r="AF1219">
        <v>168</v>
      </c>
      <c r="AG1219" t="s">
        <v>9272</v>
      </c>
      <c r="AH1219" t="s">
        <v>4280</v>
      </c>
      <c r="AI1219">
        <v>40</v>
      </c>
      <c r="AJ1219">
        <v>3</v>
      </c>
      <c r="AK1219">
        <v>1</v>
      </c>
      <c r="AL1219">
        <v>37.86</v>
      </c>
      <c r="AO1219" t="s">
        <v>1425</v>
      </c>
      <c r="AP1219">
        <v>9504</v>
      </c>
      <c r="AR1219" t="s">
        <v>9327</v>
      </c>
      <c r="AS1219" t="s">
        <v>9355</v>
      </c>
      <c r="AT1219" t="s">
        <v>9369</v>
      </c>
      <c r="AU1219" t="s">
        <v>9404</v>
      </c>
      <c r="AV1219">
        <v>9.199999999999999</v>
      </c>
      <c r="AW1219" t="s">
        <v>73</v>
      </c>
    </row>
    <row r="1220" spans="1:49">
      <c r="A1220" s="1">
        <f>HYPERLINK("https://cms.ls-nyc.org/matter/dynamic-profile/view/1888635","19-1888635")</f>
        <v>0</v>
      </c>
      <c r="B1220" t="s">
        <v>76</v>
      </c>
      <c r="C1220" t="s">
        <v>83</v>
      </c>
      <c r="D1220" t="s">
        <v>125</v>
      </c>
      <c r="F1220" t="s">
        <v>1174</v>
      </c>
      <c r="G1220" t="s">
        <v>1876</v>
      </c>
      <c r="H1220" t="s">
        <v>2734</v>
      </c>
      <c r="I1220" t="s">
        <v>4153</v>
      </c>
      <c r="J1220" t="s">
        <v>4222</v>
      </c>
      <c r="K1220">
        <v>11434</v>
      </c>
      <c r="L1220" t="s">
        <v>4275</v>
      </c>
      <c r="M1220" t="s">
        <v>4275</v>
      </c>
      <c r="O1220" t="s">
        <v>4281</v>
      </c>
      <c r="P1220" t="s">
        <v>5374</v>
      </c>
      <c r="Q1220" t="s">
        <v>5731</v>
      </c>
      <c r="R1220" t="s">
        <v>5751</v>
      </c>
      <c r="T1220" t="s">
        <v>4276</v>
      </c>
      <c r="V1220" t="s">
        <v>5767</v>
      </c>
      <c r="W1220" t="s">
        <v>5772</v>
      </c>
      <c r="X1220" t="s">
        <v>125</v>
      </c>
      <c r="Y1220">
        <v>307</v>
      </c>
      <c r="Z1220" t="s">
        <v>5803</v>
      </c>
      <c r="AA1220" t="s">
        <v>5805</v>
      </c>
      <c r="AC1220" t="s">
        <v>6943</v>
      </c>
      <c r="AE1220" t="s">
        <v>8926</v>
      </c>
      <c r="AF1220">
        <v>0</v>
      </c>
      <c r="AG1220" t="s">
        <v>9271</v>
      </c>
      <c r="AI1220">
        <v>14</v>
      </c>
      <c r="AJ1220">
        <v>2</v>
      </c>
      <c r="AK1220">
        <v>2</v>
      </c>
      <c r="AL1220">
        <v>37.93</v>
      </c>
      <c r="AO1220" t="s">
        <v>1425</v>
      </c>
      <c r="AP1220">
        <v>9768</v>
      </c>
      <c r="AV1220">
        <v>8.6</v>
      </c>
      <c r="AW1220" t="s">
        <v>54</v>
      </c>
    </row>
    <row r="1221" spans="1:49">
      <c r="A1221" s="1">
        <f>HYPERLINK("https://cms.ls-nyc.org/matter/dynamic-profile/view/1878042","18-1878042")</f>
        <v>0</v>
      </c>
      <c r="B1221" t="s">
        <v>76</v>
      </c>
      <c r="C1221" t="s">
        <v>83</v>
      </c>
      <c r="D1221" t="s">
        <v>126</v>
      </c>
      <c r="F1221" t="s">
        <v>426</v>
      </c>
      <c r="G1221" t="s">
        <v>2254</v>
      </c>
      <c r="H1221" t="s">
        <v>3536</v>
      </c>
      <c r="I1221" t="s">
        <v>3921</v>
      </c>
      <c r="J1221" t="s">
        <v>4234</v>
      </c>
      <c r="K1221">
        <v>11103</v>
      </c>
      <c r="L1221" t="s">
        <v>4275</v>
      </c>
      <c r="M1221" t="s">
        <v>4275</v>
      </c>
      <c r="O1221" t="s">
        <v>4282</v>
      </c>
      <c r="P1221" t="s">
        <v>5375</v>
      </c>
      <c r="Q1221" t="s">
        <v>5732</v>
      </c>
      <c r="R1221" t="s">
        <v>5753</v>
      </c>
      <c r="T1221" t="s">
        <v>4276</v>
      </c>
      <c r="V1221" t="s">
        <v>5767</v>
      </c>
      <c r="W1221" t="s">
        <v>5772</v>
      </c>
      <c r="X1221" t="s">
        <v>126</v>
      </c>
      <c r="Y1221">
        <v>2460</v>
      </c>
      <c r="Z1221" t="s">
        <v>5803</v>
      </c>
      <c r="AA1221" t="s">
        <v>5804</v>
      </c>
      <c r="AC1221" t="s">
        <v>6944</v>
      </c>
      <c r="AE1221" t="s">
        <v>8927</v>
      </c>
      <c r="AF1221">
        <v>3</v>
      </c>
      <c r="AG1221" t="s">
        <v>9269</v>
      </c>
      <c r="AH1221" t="s">
        <v>4280</v>
      </c>
      <c r="AI1221">
        <v>3</v>
      </c>
      <c r="AJ1221">
        <v>1</v>
      </c>
      <c r="AK1221">
        <v>2</v>
      </c>
      <c r="AL1221">
        <v>38.5</v>
      </c>
      <c r="AO1221" t="s">
        <v>9298</v>
      </c>
      <c r="AP1221">
        <v>8000</v>
      </c>
      <c r="AV1221">
        <v>1.2</v>
      </c>
      <c r="AW1221" t="s">
        <v>54</v>
      </c>
    </row>
    <row r="1222" spans="1:49">
      <c r="A1222" s="1">
        <f>HYPERLINK("https://cms.ls-nyc.org/matter/dynamic-profile/view/1886762","18-1886762")</f>
        <v>0</v>
      </c>
      <c r="B1222" t="s">
        <v>76</v>
      </c>
      <c r="C1222" t="s">
        <v>83</v>
      </c>
      <c r="D1222" t="s">
        <v>282</v>
      </c>
      <c r="F1222" t="s">
        <v>1175</v>
      </c>
      <c r="G1222" t="s">
        <v>2255</v>
      </c>
      <c r="H1222" t="s">
        <v>3537</v>
      </c>
      <c r="I1222" t="s">
        <v>4107</v>
      </c>
      <c r="J1222" t="s">
        <v>4240</v>
      </c>
      <c r="K1222">
        <v>11373</v>
      </c>
      <c r="L1222" t="s">
        <v>4275</v>
      </c>
      <c r="M1222" t="s">
        <v>4275</v>
      </c>
      <c r="O1222" t="s">
        <v>4282</v>
      </c>
      <c r="P1222" t="s">
        <v>5376</v>
      </c>
      <c r="Q1222" t="s">
        <v>5738</v>
      </c>
      <c r="R1222" t="s">
        <v>5755</v>
      </c>
      <c r="T1222" t="s">
        <v>4276</v>
      </c>
      <c r="V1222" t="s">
        <v>5770</v>
      </c>
      <c r="W1222" t="s">
        <v>5772</v>
      </c>
      <c r="X1222" t="s">
        <v>193</v>
      </c>
      <c r="Y1222">
        <v>1147</v>
      </c>
      <c r="Z1222" t="s">
        <v>5803</v>
      </c>
      <c r="AA1222" t="s">
        <v>5807</v>
      </c>
      <c r="AC1222" t="s">
        <v>6945</v>
      </c>
      <c r="AF1222">
        <v>20</v>
      </c>
      <c r="AG1222" t="s">
        <v>9272</v>
      </c>
      <c r="AH1222" t="s">
        <v>4280</v>
      </c>
      <c r="AI1222">
        <v>15</v>
      </c>
      <c r="AJ1222">
        <v>1</v>
      </c>
      <c r="AK1222">
        <v>1</v>
      </c>
      <c r="AL1222">
        <v>43.74</v>
      </c>
      <c r="AO1222" t="s">
        <v>9298</v>
      </c>
      <c r="AP1222">
        <v>7200</v>
      </c>
      <c r="AV1222">
        <v>6.4</v>
      </c>
      <c r="AW1222" t="s">
        <v>76</v>
      </c>
    </row>
    <row r="1223" spans="1:49">
      <c r="A1223" s="1">
        <f>HYPERLINK("https://cms.ls-nyc.org/matter/dynamic-profile/view/1878064","18-1878064")</f>
        <v>0</v>
      </c>
      <c r="B1223" t="s">
        <v>76</v>
      </c>
      <c r="C1223" t="s">
        <v>83</v>
      </c>
      <c r="D1223" t="s">
        <v>188</v>
      </c>
      <c r="F1223" t="s">
        <v>1176</v>
      </c>
      <c r="G1223" t="s">
        <v>2255</v>
      </c>
      <c r="H1223" t="s">
        <v>3537</v>
      </c>
      <c r="I1223" t="s">
        <v>4107</v>
      </c>
      <c r="J1223" t="s">
        <v>4240</v>
      </c>
      <c r="K1223">
        <v>11373</v>
      </c>
      <c r="L1223" t="s">
        <v>4275</v>
      </c>
      <c r="M1223" t="s">
        <v>4275</v>
      </c>
      <c r="O1223" t="s">
        <v>4281</v>
      </c>
      <c r="P1223" t="s">
        <v>5377</v>
      </c>
      <c r="Q1223" t="s">
        <v>5731</v>
      </c>
      <c r="R1223" t="s">
        <v>5751</v>
      </c>
      <c r="T1223" t="s">
        <v>4276</v>
      </c>
      <c r="V1223" t="s">
        <v>5767</v>
      </c>
      <c r="W1223" t="s">
        <v>5772</v>
      </c>
      <c r="X1223" t="s">
        <v>188</v>
      </c>
      <c r="Y1223">
        <v>1147</v>
      </c>
      <c r="Z1223" t="s">
        <v>5803</v>
      </c>
      <c r="AA1223" t="s">
        <v>5804</v>
      </c>
      <c r="AC1223" t="s">
        <v>6945</v>
      </c>
      <c r="AF1223">
        <v>20</v>
      </c>
      <c r="AG1223" t="s">
        <v>9272</v>
      </c>
      <c r="AH1223" t="s">
        <v>4280</v>
      </c>
      <c r="AI1223">
        <v>14</v>
      </c>
      <c r="AJ1223">
        <v>1</v>
      </c>
      <c r="AK1223">
        <v>1</v>
      </c>
      <c r="AL1223">
        <v>43.74</v>
      </c>
      <c r="AO1223" t="s">
        <v>9298</v>
      </c>
      <c r="AP1223">
        <v>7200</v>
      </c>
      <c r="AR1223" t="s">
        <v>9329</v>
      </c>
      <c r="AS1223" t="s">
        <v>9336</v>
      </c>
      <c r="AT1223" t="s">
        <v>9369</v>
      </c>
      <c r="AU1223" t="s">
        <v>9509</v>
      </c>
      <c r="AV1223">
        <v>19.65</v>
      </c>
      <c r="AW1223" t="s">
        <v>60</v>
      </c>
    </row>
    <row r="1224" spans="1:49">
      <c r="A1224" s="1">
        <f>HYPERLINK("https://cms.ls-nyc.org/matter/dynamic-profile/view/1877316","18-1877316")</f>
        <v>0</v>
      </c>
      <c r="B1224" t="s">
        <v>76</v>
      </c>
      <c r="C1224" t="s">
        <v>83</v>
      </c>
      <c r="D1224" t="s">
        <v>181</v>
      </c>
      <c r="F1224" t="s">
        <v>363</v>
      </c>
      <c r="G1224" t="s">
        <v>1691</v>
      </c>
      <c r="H1224" t="s">
        <v>3538</v>
      </c>
      <c r="I1224" t="s">
        <v>3996</v>
      </c>
      <c r="J1224" t="s">
        <v>4241</v>
      </c>
      <c r="K1224">
        <v>11368</v>
      </c>
      <c r="L1224" t="s">
        <v>4275</v>
      </c>
      <c r="M1224" t="s">
        <v>4275</v>
      </c>
      <c r="O1224" t="s">
        <v>4282</v>
      </c>
      <c r="P1224" t="s">
        <v>5378</v>
      </c>
      <c r="Q1224" t="s">
        <v>5731</v>
      </c>
      <c r="R1224" t="s">
        <v>5753</v>
      </c>
      <c r="T1224" t="s">
        <v>4276</v>
      </c>
      <c r="V1224" t="s">
        <v>5767</v>
      </c>
      <c r="W1224" t="s">
        <v>5771</v>
      </c>
      <c r="X1224" t="s">
        <v>181</v>
      </c>
      <c r="Y1224">
        <v>1400</v>
      </c>
      <c r="Z1224" t="s">
        <v>5803</v>
      </c>
      <c r="AA1224" t="s">
        <v>5804</v>
      </c>
      <c r="AC1224" t="s">
        <v>6946</v>
      </c>
      <c r="AD1224" t="s">
        <v>7732</v>
      </c>
      <c r="AE1224" t="s">
        <v>8928</v>
      </c>
      <c r="AF1224">
        <v>30</v>
      </c>
      <c r="AG1224" t="s">
        <v>9270</v>
      </c>
      <c r="AH1224" t="s">
        <v>9283</v>
      </c>
      <c r="AI1224">
        <v>5</v>
      </c>
      <c r="AJ1224">
        <v>1</v>
      </c>
      <c r="AK1224">
        <v>3</v>
      </c>
      <c r="AL1224">
        <v>44.54</v>
      </c>
      <c r="AP1224">
        <v>11180</v>
      </c>
      <c r="AV1224">
        <v>2.3</v>
      </c>
      <c r="AW1224" t="s">
        <v>74</v>
      </c>
    </row>
    <row r="1225" spans="1:49">
      <c r="A1225" s="1">
        <f>HYPERLINK("https://cms.ls-nyc.org/matter/dynamic-profile/view/1884350","18-1884350")</f>
        <v>0</v>
      </c>
      <c r="B1225" t="s">
        <v>76</v>
      </c>
      <c r="C1225" t="s">
        <v>82</v>
      </c>
      <c r="D1225" t="s">
        <v>149</v>
      </c>
      <c r="E1225" t="s">
        <v>93</v>
      </c>
      <c r="F1225" t="s">
        <v>1177</v>
      </c>
      <c r="G1225" t="s">
        <v>1462</v>
      </c>
      <c r="H1225" t="s">
        <v>3539</v>
      </c>
      <c r="I1225" t="s">
        <v>3867</v>
      </c>
      <c r="J1225" t="s">
        <v>4222</v>
      </c>
      <c r="K1225">
        <v>11434</v>
      </c>
      <c r="L1225" t="s">
        <v>4275</v>
      </c>
      <c r="M1225" t="s">
        <v>4275</v>
      </c>
      <c r="N1225" t="s">
        <v>4279</v>
      </c>
      <c r="O1225" t="s">
        <v>4281</v>
      </c>
      <c r="P1225" t="s">
        <v>5379</v>
      </c>
      <c r="Q1225" t="s">
        <v>5731</v>
      </c>
      <c r="R1225" t="s">
        <v>5751</v>
      </c>
      <c r="S1225" t="s">
        <v>5762</v>
      </c>
      <c r="T1225" t="s">
        <v>4276</v>
      </c>
      <c r="V1225" t="s">
        <v>5767</v>
      </c>
      <c r="W1225" t="s">
        <v>5772</v>
      </c>
      <c r="X1225" t="s">
        <v>149</v>
      </c>
      <c r="Y1225">
        <v>2000</v>
      </c>
      <c r="Z1225" t="s">
        <v>5803</v>
      </c>
      <c r="AA1225" t="s">
        <v>5804</v>
      </c>
      <c r="AB1225" t="s">
        <v>5822</v>
      </c>
      <c r="AC1225" t="s">
        <v>6947</v>
      </c>
      <c r="AD1225" t="s">
        <v>7733</v>
      </c>
      <c r="AE1225" t="s">
        <v>8929</v>
      </c>
      <c r="AF1225">
        <v>2</v>
      </c>
      <c r="AG1225" t="s">
        <v>9270</v>
      </c>
      <c r="AH1225" t="s">
        <v>4280</v>
      </c>
      <c r="AI1225">
        <v>1</v>
      </c>
      <c r="AJ1225">
        <v>1</v>
      </c>
      <c r="AK1225">
        <v>4</v>
      </c>
      <c r="AL1225">
        <v>49.49</v>
      </c>
      <c r="AO1225" t="s">
        <v>9298</v>
      </c>
      <c r="AP1225">
        <v>14560</v>
      </c>
      <c r="AR1225" t="s">
        <v>9329</v>
      </c>
      <c r="AS1225" t="s">
        <v>5806</v>
      </c>
      <c r="AT1225" t="s">
        <v>9370</v>
      </c>
      <c r="AU1225" t="s">
        <v>9511</v>
      </c>
      <c r="AV1225">
        <v>7.5</v>
      </c>
      <c r="AW1225" t="s">
        <v>54</v>
      </c>
    </row>
    <row r="1226" spans="1:49">
      <c r="A1226" s="1">
        <f>HYPERLINK("https://cms.ls-nyc.org/matter/dynamic-profile/view/1884941","18-1884941")</f>
        <v>0</v>
      </c>
      <c r="B1226" t="s">
        <v>76</v>
      </c>
      <c r="C1226" t="s">
        <v>83</v>
      </c>
      <c r="D1226" t="s">
        <v>190</v>
      </c>
      <c r="F1226" t="s">
        <v>1178</v>
      </c>
      <c r="G1226" t="s">
        <v>2035</v>
      </c>
      <c r="H1226" t="s">
        <v>3540</v>
      </c>
      <c r="I1226" t="s">
        <v>3856</v>
      </c>
      <c r="J1226" t="s">
        <v>4222</v>
      </c>
      <c r="K1226">
        <v>11435</v>
      </c>
      <c r="L1226" t="s">
        <v>4275</v>
      </c>
      <c r="M1226" t="s">
        <v>4275</v>
      </c>
      <c r="O1226" t="s">
        <v>4282</v>
      </c>
      <c r="P1226" t="s">
        <v>5380</v>
      </c>
      <c r="Q1226" t="s">
        <v>5732</v>
      </c>
      <c r="R1226" t="s">
        <v>5751</v>
      </c>
      <c r="T1226" t="s">
        <v>5765</v>
      </c>
      <c r="V1226" t="s">
        <v>5767</v>
      </c>
      <c r="X1226" t="s">
        <v>190</v>
      </c>
      <c r="Y1226">
        <v>850</v>
      </c>
      <c r="Z1226" t="s">
        <v>5803</v>
      </c>
      <c r="AA1226" t="s">
        <v>5804</v>
      </c>
      <c r="AC1226" t="s">
        <v>6948</v>
      </c>
      <c r="AD1226" t="s">
        <v>7734</v>
      </c>
      <c r="AE1226" t="s">
        <v>8930</v>
      </c>
      <c r="AF1226">
        <v>2</v>
      </c>
      <c r="AG1226" t="s">
        <v>9269</v>
      </c>
      <c r="AH1226" t="s">
        <v>4280</v>
      </c>
      <c r="AI1226">
        <v>12</v>
      </c>
      <c r="AJ1226">
        <v>1</v>
      </c>
      <c r="AK1226">
        <v>2</v>
      </c>
      <c r="AL1226">
        <v>51.97</v>
      </c>
      <c r="AO1226" t="s">
        <v>1425</v>
      </c>
      <c r="AP1226">
        <v>10800</v>
      </c>
      <c r="AV1226">
        <v>2.8</v>
      </c>
      <c r="AW1226" t="s">
        <v>74</v>
      </c>
    </row>
    <row r="1227" spans="1:49">
      <c r="A1227" s="1">
        <f>HYPERLINK("https://cms.ls-nyc.org/matter/dynamic-profile/view/1873414","18-1873414")</f>
        <v>0</v>
      </c>
      <c r="B1227" t="s">
        <v>76</v>
      </c>
      <c r="C1227" t="s">
        <v>83</v>
      </c>
      <c r="D1227" t="s">
        <v>153</v>
      </c>
      <c r="F1227" t="s">
        <v>1081</v>
      </c>
      <c r="G1227" t="s">
        <v>2256</v>
      </c>
      <c r="H1227" t="s">
        <v>3541</v>
      </c>
      <c r="I1227" t="s">
        <v>3892</v>
      </c>
      <c r="J1227" t="s">
        <v>4251</v>
      </c>
      <c r="K1227">
        <v>11377</v>
      </c>
      <c r="L1227" t="s">
        <v>4275</v>
      </c>
      <c r="M1227" t="s">
        <v>4275</v>
      </c>
      <c r="O1227" t="s">
        <v>4282</v>
      </c>
      <c r="P1227" t="s">
        <v>5381</v>
      </c>
      <c r="Q1227" t="s">
        <v>5731</v>
      </c>
      <c r="R1227" t="s">
        <v>5753</v>
      </c>
      <c r="T1227" t="s">
        <v>4276</v>
      </c>
      <c r="V1227" t="s">
        <v>5767</v>
      </c>
      <c r="W1227" t="s">
        <v>5772</v>
      </c>
      <c r="X1227" t="s">
        <v>153</v>
      </c>
      <c r="Y1227">
        <v>1100.8</v>
      </c>
      <c r="Z1227" t="s">
        <v>5803</v>
      </c>
      <c r="AA1227" t="s">
        <v>5804</v>
      </c>
      <c r="AC1227" t="s">
        <v>6949</v>
      </c>
      <c r="AD1227" t="s">
        <v>7735</v>
      </c>
      <c r="AE1227" t="s">
        <v>8931</v>
      </c>
      <c r="AF1227">
        <v>16</v>
      </c>
      <c r="AG1227" t="s">
        <v>9272</v>
      </c>
      <c r="AH1227" t="s">
        <v>4280</v>
      </c>
      <c r="AI1227">
        <v>1</v>
      </c>
      <c r="AJ1227">
        <v>1</v>
      </c>
      <c r="AK1227">
        <v>0</v>
      </c>
      <c r="AL1227">
        <v>52.59</v>
      </c>
      <c r="AO1227" t="s">
        <v>1425</v>
      </c>
      <c r="AP1227">
        <v>6384</v>
      </c>
      <c r="AV1227">
        <v>2.1</v>
      </c>
      <c r="AW1227" t="s">
        <v>73</v>
      </c>
    </row>
    <row r="1228" spans="1:49">
      <c r="A1228" s="1">
        <f>HYPERLINK("https://cms.ls-nyc.org/matter/dynamic-profile/view/1873875","18-1873875")</f>
        <v>0</v>
      </c>
      <c r="B1228" t="s">
        <v>76</v>
      </c>
      <c r="C1228" t="s">
        <v>83</v>
      </c>
      <c r="D1228" t="s">
        <v>131</v>
      </c>
      <c r="F1228" t="s">
        <v>1179</v>
      </c>
      <c r="G1228" t="s">
        <v>1385</v>
      </c>
      <c r="H1228" t="s">
        <v>3542</v>
      </c>
      <c r="I1228" t="s">
        <v>3866</v>
      </c>
      <c r="J1228" t="s">
        <v>4236</v>
      </c>
      <c r="K1228">
        <v>11416</v>
      </c>
      <c r="L1228" t="s">
        <v>4275</v>
      </c>
      <c r="M1228" t="s">
        <v>4275</v>
      </c>
      <c r="O1228" t="s">
        <v>4282</v>
      </c>
      <c r="P1228" t="s">
        <v>5382</v>
      </c>
      <c r="Q1228" t="s">
        <v>5732</v>
      </c>
      <c r="R1228" t="s">
        <v>5751</v>
      </c>
      <c r="T1228" t="s">
        <v>4276</v>
      </c>
      <c r="V1228" t="s">
        <v>5767</v>
      </c>
      <c r="W1228" t="s">
        <v>5772</v>
      </c>
      <c r="X1228" t="s">
        <v>131</v>
      </c>
      <c r="Y1228">
        <v>1980</v>
      </c>
      <c r="Z1228" t="s">
        <v>5803</v>
      </c>
      <c r="AA1228" t="s">
        <v>5804</v>
      </c>
      <c r="AC1228" t="s">
        <v>6950</v>
      </c>
      <c r="AD1228" t="s">
        <v>7736</v>
      </c>
      <c r="AE1228" t="s">
        <v>8932</v>
      </c>
      <c r="AF1228">
        <v>3</v>
      </c>
      <c r="AG1228" t="s">
        <v>9269</v>
      </c>
      <c r="AH1228" t="s">
        <v>9283</v>
      </c>
      <c r="AI1228">
        <v>1</v>
      </c>
      <c r="AJ1228">
        <v>1</v>
      </c>
      <c r="AK1228">
        <v>5</v>
      </c>
      <c r="AL1228">
        <v>52.64</v>
      </c>
      <c r="AP1228">
        <v>17760</v>
      </c>
      <c r="AR1228" t="s">
        <v>9334</v>
      </c>
      <c r="AS1228" t="s">
        <v>9336</v>
      </c>
      <c r="AT1228" t="s">
        <v>9369</v>
      </c>
      <c r="AU1228" t="s">
        <v>9384</v>
      </c>
      <c r="AV1228">
        <v>85</v>
      </c>
      <c r="AW1228" t="s">
        <v>74</v>
      </c>
    </row>
    <row r="1229" spans="1:49">
      <c r="A1229" s="1">
        <f>HYPERLINK("https://cms.ls-nyc.org/matter/dynamic-profile/view/1893013","19-1893013")</f>
        <v>0</v>
      </c>
      <c r="B1229" t="s">
        <v>76</v>
      </c>
      <c r="C1229" t="s">
        <v>83</v>
      </c>
      <c r="D1229" t="s">
        <v>114</v>
      </c>
      <c r="F1229" t="s">
        <v>1168</v>
      </c>
      <c r="G1229" t="s">
        <v>1429</v>
      </c>
      <c r="H1229" t="s">
        <v>3543</v>
      </c>
      <c r="I1229" t="s">
        <v>3867</v>
      </c>
      <c r="J1229" t="s">
        <v>4250</v>
      </c>
      <c r="K1229">
        <v>11412</v>
      </c>
      <c r="L1229" t="s">
        <v>4275</v>
      </c>
      <c r="M1229" t="s">
        <v>4275</v>
      </c>
      <c r="O1229" t="s">
        <v>4282</v>
      </c>
      <c r="P1229" t="s">
        <v>5383</v>
      </c>
      <c r="Q1229" t="s">
        <v>5732</v>
      </c>
      <c r="R1229" t="s">
        <v>5752</v>
      </c>
      <c r="T1229" t="s">
        <v>4276</v>
      </c>
      <c r="V1229" t="s">
        <v>5767</v>
      </c>
      <c r="X1229" t="s">
        <v>114</v>
      </c>
      <c r="Y1229">
        <v>1350</v>
      </c>
      <c r="Z1229" t="s">
        <v>5803</v>
      </c>
      <c r="AA1229" t="s">
        <v>5804</v>
      </c>
      <c r="AC1229" t="s">
        <v>6951</v>
      </c>
      <c r="AD1229" t="s">
        <v>7737</v>
      </c>
      <c r="AE1229" t="s">
        <v>8933</v>
      </c>
      <c r="AF1229">
        <v>0</v>
      </c>
      <c r="AG1229" t="s">
        <v>9270</v>
      </c>
      <c r="AH1229" t="s">
        <v>4280</v>
      </c>
      <c r="AI1229">
        <v>7</v>
      </c>
      <c r="AJ1229">
        <v>3</v>
      </c>
      <c r="AK1229">
        <v>2</v>
      </c>
      <c r="AL1229">
        <v>55.15</v>
      </c>
      <c r="AO1229" t="s">
        <v>1425</v>
      </c>
      <c r="AP1229">
        <v>16640</v>
      </c>
      <c r="AV1229">
        <v>1.3</v>
      </c>
      <c r="AW1229" t="s">
        <v>54</v>
      </c>
    </row>
    <row r="1230" spans="1:49">
      <c r="A1230" s="1">
        <f>HYPERLINK("https://cms.ls-nyc.org/matter/dynamic-profile/view/1888979","19-1888979")</f>
        <v>0</v>
      </c>
      <c r="B1230" t="s">
        <v>76</v>
      </c>
      <c r="C1230" t="s">
        <v>83</v>
      </c>
      <c r="D1230" t="s">
        <v>88</v>
      </c>
      <c r="F1230" t="s">
        <v>710</v>
      </c>
      <c r="G1230" t="s">
        <v>2257</v>
      </c>
      <c r="H1230" t="s">
        <v>3544</v>
      </c>
      <c r="J1230" t="s">
        <v>4256</v>
      </c>
      <c r="K1230">
        <v>11411</v>
      </c>
      <c r="L1230" t="s">
        <v>4275</v>
      </c>
      <c r="M1230" t="s">
        <v>4275</v>
      </c>
      <c r="O1230" t="s">
        <v>4282</v>
      </c>
      <c r="P1230" t="s">
        <v>5384</v>
      </c>
      <c r="Q1230" t="s">
        <v>5732</v>
      </c>
      <c r="R1230" t="s">
        <v>5753</v>
      </c>
      <c r="T1230" t="s">
        <v>4276</v>
      </c>
      <c r="V1230" t="s">
        <v>5767</v>
      </c>
      <c r="W1230" t="s">
        <v>5772</v>
      </c>
      <c r="X1230" t="s">
        <v>88</v>
      </c>
      <c r="Y1230">
        <v>500</v>
      </c>
      <c r="Z1230" t="s">
        <v>5803</v>
      </c>
      <c r="AA1230" t="s">
        <v>5804</v>
      </c>
      <c r="AC1230" t="s">
        <v>6952</v>
      </c>
      <c r="AE1230" t="s">
        <v>8934</v>
      </c>
      <c r="AF1230">
        <v>1</v>
      </c>
      <c r="AG1230" t="s">
        <v>9269</v>
      </c>
      <c r="AH1230" t="s">
        <v>4280</v>
      </c>
      <c r="AI1230">
        <v>1</v>
      </c>
      <c r="AJ1230">
        <v>2</v>
      </c>
      <c r="AK1230">
        <v>0</v>
      </c>
      <c r="AL1230">
        <v>56.77</v>
      </c>
      <c r="AO1230" t="s">
        <v>9298</v>
      </c>
      <c r="AP1230">
        <v>9600</v>
      </c>
      <c r="AV1230">
        <v>1</v>
      </c>
      <c r="AW1230" t="s">
        <v>73</v>
      </c>
    </row>
    <row r="1231" spans="1:49">
      <c r="A1231" s="1">
        <f>HYPERLINK("https://cms.ls-nyc.org/matter/dynamic-profile/view/1876137","18-1876137")</f>
        <v>0</v>
      </c>
      <c r="B1231" t="s">
        <v>76</v>
      </c>
      <c r="C1231" t="s">
        <v>82</v>
      </c>
      <c r="D1231" t="s">
        <v>260</v>
      </c>
      <c r="E1231" t="s">
        <v>93</v>
      </c>
      <c r="F1231" t="s">
        <v>1180</v>
      </c>
      <c r="G1231" t="s">
        <v>1999</v>
      </c>
      <c r="H1231" t="s">
        <v>3545</v>
      </c>
      <c r="I1231" t="s">
        <v>3894</v>
      </c>
      <c r="J1231" t="s">
        <v>4241</v>
      </c>
      <c r="K1231">
        <v>11368</v>
      </c>
      <c r="L1231" t="s">
        <v>4275</v>
      </c>
      <c r="M1231" t="s">
        <v>4275</v>
      </c>
      <c r="O1231" t="s">
        <v>4282</v>
      </c>
      <c r="P1231" t="s">
        <v>5385</v>
      </c>
      <c r="Q1231" t="s">
        <v>5731</v>
      </c>
      <c r="R1231" t="s">
        <v>5751</v>
      </c>
      <c r="S1231" t="s">
        <v>5758</v>
      </c>
      <c r="T1231" t="s">
        <v>4276</v>
      </c>
      <c r="V1231" t="s">
        <v>5767</v>
      </c>
      <c r="W1231" t="s">
        <v>5772</v>
      </c>
      <c r="X1231" t="s">
        <v>260</v>
      </c>
      <c r="Y1231">
        <v>1650</v>
      </c>
      <c r="Z1231" t="s">
        <v>5803</v>
      </c>
      <c r="AA1231" t="s">
        <v>5804</v>
      </c>
      <c r="AB1231" t="s">
        <v>5820</v>
      </c>
      <c r="AC1231" t="s">
        <v>6953</v>
      </c>
      <c r="AD1231" t="s">
        <v>7738</v>
      </c>
      <c r="AE1231" t="s">
        <v>8935</v>
      </c>
      <c r="AF1231">
        <v>16</v>
      </c>
      <c r="AG1231" t="s">
        <v>9272</v>
      </c>
      <c r="AH1231" t="s">
        <v>4280</v>
      </c>
      <c r="AI1231">
        <v>1</v>
      </c>
      <c r="AJ1231">
        <v>1</v>
      </c>
      <c r="AK1231">
        <v>1</v>
      </c>
      <c r="AL1231">
        <v>62.7</v>
      </c>
      <c r="AO1231" t="s">
        <v>1425</v>
      </c>
      <c r="AP1231">
        <v>10320</v>
      </c>
      <c r="AR1231" t="s">
        <v>9326</v>
      </c>
      <c r="AS1231" t="s">
        <v>5806</v>
      </c>
      <c r="AT1231" t="s">
        <v>9369</v>
      </c>
      <c r="AU1231" t="s">
        <v>9533</v>
      </c>
      <c r="AV1231">
        <v>21.65</v>
      </c>
      <c r="AW1231" t="s">
        <v>74</v>
      </c>
    </row>
    <row r="1232" spans="1:49">
      <c r="A1232" s="1">
        <f>HYPERLINK("https://cms.ls-nyc.org/matter/dynamic-profile/view/1900802","19-1900802")</f>
        <v>0</v>
      </c>
      <c r="B1232" t="s">
        <v>76</v>
      </c>
      <c r="C1232" t="s">
        <v>83</v>
      </c>
      <c r="D1232" t="s">
        <v>166</v>
      </c>
      <c r="F1232" t="s">
        <v>382</v>
      </c>
      <c r="G1232" t="s">
        <v>2258</v>
      </c>
      <c r="H1232" t="s">
        <v>3546</v>
      </c>
      <c r="J1232" t="s">
        <v>4222</v>
      </c>
      <c r="K1232">
        <v>11434</v>
      </c>
      <c r="L1232" t="s">
        <v>4275</v>
      </c>
      <c r="M1232" t="s">
        <v>4277</v>
      </c>
      <c r="N1232" t="s">
        <v>4278</v>
      </c>
      <c r="O1232" t="s">
        <v>4281</v>
      </c>
      <c r="P1232" t="s">
        <v>5386</v>
      </c>
      <c r="Q1232" t="s">
        <v>5732</v>
      </c>
      <c r="R1232" t="s">
        <v>5751</v>
      </c>
      <c r="T1232" t="s">
        <v>4276</v>
      </c>
      <c r="V1232" t="s">
        <v>5767</v>
      </c>
      <c r="W1232" t="s">
        <v>5772</v>
      </c>
      <c r="X1232" t="s">
        <v>166</v>
      </c>
      <c r="Y1232">
        <v>1400</v>
      </c>
      <c r="Z1232" t="s">
        <v>5803</v>
      </c>
      <c r="AA1232" t="s">
        <v>5805</v>
      </c>
      <c r="AC1232" t="s">
        <v>6954</v>
      </c>
      <c r="AE1232" t="s">
        <v>8936</v>
      </c>
      <c r="AF1232">
        <v>3</v>
      </c>
      <c r="AG1232" t="s">
        <v>9270</v>
      </c>
      <c r="AH1232" t="s">
        <v>9286</v>
      </c>
      <c r="AI1232">
        <v>7</v>
      </c>
      <c r="AJ1232">
        <v>1</v>
      </c>
      <c r="AK1232">
        <v>1</v>
      </c>
      <c r="AL1232">
        <v>65.05</v>
      </c>
      <c r="AO1232" t="s">
        <v>1425</v>
      </c>
      <c r="AP1232">
        <v>11000</v>
      </c>
      <c r="AV1232">
        <v>2.2</v>
      </c>
      <c r="AW1232" t="s">
        <v>54</v>
      </c>
    </row>
    <row r="1233" spans="1:49">
      <c r="A1233" s="1">
        <f>HYPERLINK("https://cms.ls-nyc.org/matter/dynamic-profile/view/1878268","18-1878268")</f>
        <v>0</v>
      </c>
      <c r="B1233" t="s">
        <v>76</v>
      </c>
      <c r="C1233" t="s">
        <v>83</v>
      </c>
      <c r="D1233" t="s">
        <v>137</v>
      </c>
      <c r="F1233" t="s">
        <v>1181</v>
      </c>
      <c r="G1233" t="s">
        <v>2259</v>
      </c>
      <c r="H1233" t="s">
        <v>2811</v>
      </c>
      <c r="I1233" t="s">
        <v>3899</v>
      </c>
      <c r="J1233" t="s">
        <v>4233</v>
      </c>
      <c r="K1233">
        <v>11375</v>
      </c>
      <c r="L1233" t="s">
        <v>4275</v>
      </c>
      <c r="M1233" t="s">
        <v>4275</v>
      </c>
      <c r="O1233" t="s">
        <v>4282</v>
      </c>
      <c r="P1233" t="s">
        <v>5387</v>
      </c>
      <c r="Q1233" t="s">
        <v>5731</v>
      </c>
      <c r="R1233" t="s">
        <v>5753</v>
      </c>
      <c r="T1233" t="s">
        <v>4276</v>
      </c>
      <c r="V1233" t="s">
        <v>5767</v>
      </c>
      <c r="W1233" t="s">
        <v>5771</v>
      </c>
      <c r="X1233" t="s">
        <v>188</v>
      </c>
      <c r="Y1233">
        <v>1011.73</v>
      </c>
      <c r="Z1233" t="s">
        <v>5803</v>
      </c>
      <c r="AA1233" t="s">
        <v>5804</v>
      </c>
      <c r="AC1233" t="s">
        <v>5869</v>
      </c>
      <c r="AD1233" t="s">
        <v>7739</v>
      </c>
      <c r="AE1233" t="s">
        <v>8937</v>
      </c>
      <c r="AF1233">
        <v>36</v>
      </c>
      <c r="AG1233" t="s">
        <v>9272</v>
      </c>
      <c r="AH1233" t="s">
        <v>9287</v>
      </c>
      <c r="AI1233">
        <v>40</v>
      </c>
      <c r="AJ1233">
        <v>2</v>
      </c>
      <c r="AK1233">
        <v>0</v>
      </c>
      <c r="AL1233">
        <v>65.61</v>
      </c>
      <c r="AO1233" t="s">
        <v>1425</v>
      </c>
      <c r="AP1233">
        <v>10800</v>
      </c>
      <c r="AV1233">
        <v>1.3</v>
      </c>
      <c r="AW1233" t="s">
        <v>73</v>
      </c>
    </row>
    <row r="1234" spans="1:49">
      <c r="A1234" s="1">
        <f>HYPERLINK("https://cms.ls-nyc.org/matter/dynamic-profile/view/1883051","18-1883051")</f>
        <v>0</v>
      </c>
      <c r="B1234" t="s">
        <v>76</v>
      </c>
      <c r="C1234" t="s">
        <v>83</v>
      </c>
      <c r="D1234" t="s">
        <v>223</v>
      </c>
      <c r="F1234" t="s">
        <v>1182</v>
      </c>
      <c r="G1234" t="s">
        <v>2260</v>
      </c>
      <c r="H1234" t="s">
        <v>3547</v>
      </c>
      <c r="I1234" t="s">
        <v>4019</v>
      </c>
      <c r="J1234" t="s">
        <v>4232</v>
      </c>
      <c r="K1234">
        <v>11104</v>
      </c>
      <c r="L1234" t="s">
        <v>4275</v>
      </c>
      <c r="M1234" t="s">
        <v>4275</v>
      </c>
      <c r="O1234" t="s">
        <v>4282</v>
      </c>
      <c r="P1234" t="s">
        <v>5388</v>
      </c>
      <c r="Q1234" t="s">
        <v>5731</v>
      </c>
      <c r="R1234" t="s">
        <v>5753</v>
      </c>
      <c r="T1234" t="s">
        <v>4276</v>
      </c>
      <c r="V1234" t="s">
        <v>5767</v>
      </c>
      <c r="W1234" t="s">
        <v>5772</v>
      </c>
      <c r="X1234" t="s">
        <v>223</v>
      </c>
      <c r="Y1234">
        <v>823</v>
      </c>
      <c r="Z1234" t="s">
        <v>5803</v>
      </c>
      <c r="AA1234" t="s">
        <v>5804</v>
      </c>
      <c r="AC1234" t="s">
        <v>6955</v>
      </c>
      <c r="AD1234" t="s">
        <v>7740</v>
      </c>
      <c r="AE1234" t="s">
        <v>8938</v>
      </c>
      <c r="AF1234">
        <v>16</v>
      </c>
      <c r="AG1234" t="s">
        <v>9272</v>
      </c>
      <c r="AH1234" t="s">
        <v>4280</v>
      </c>
      <c r="AI1234">
        <v>38</v>
      </c>
      <c r="AJ1234">
        <v>2</v>
      </c>
      <c r="AK1234">
        <v>0</v>
      </c>
      <c r="AL1234">
        <v>69.98999999999999</v>
      </c>
      <c r="AO1234" t="s">
        <v>1425</v>
      </c>
      <c r="AP1234">
        <v>11520</v>
      </c>
      <c r="AV1234">
        <v>0.8</v>
      </c>
      <c r="AW1234" t="s">
        <v>73</v>
      </c>
    </row>
    <row r="1235" spans="1:49">
      <c r="A1235" s="1">
        <f>HYPERLINK("https://cms.ls-nyc.org/matter/dynamic-profile/view/1879884","18-1879884")</f>
        <v>0</v>
      </c>
      <c r="B1235" t="s">
        <v>76</v>
      </c>
      <c r="C1235" t="s">
        <v>83</v>
      </c>
      <c r="D1235" t="s">
        <v>92</v>
      </c>
      <c r="F1235" t="s">
        <v>760</v>
      </c>
      <c r="G1235" t="s">
        <v>1385</v>
      </c>
      <c r="H1235" t="s">
        <v>2678</v>
      </c>
      <c r="I1235">
        <v>1</v>
      </c>
      <c r="J1235" t="s">
        <v>4258</v>
      </c>
      <c r="K1235">
        <v>11369</v>
      </c>
      <c r="L1235" t="s">
        <v>4275</v>
      </c>
      <c r="M1235" t="s">
        <v>4275</v>
      </c>
      <c r="O1235" t="s">
        <v>4282</v>
      </c>
      <c r="P1235" t="s">
        <v>4477</v>
      </c>
      <c r="Q1235" t="s">
        <v>5732</v>
      </c>
      <c r="R1235" t="s">
        <v>5753</v>
      </c>
      <c r="T1235" t="s">
        <v>4276</v>
      </c>
      <c r="V1235" t="s">
        <v>5767</v>
      </c>
      <c r="X1235" t="s">
        <v>92</v>
      </c>
      <c r="Y1235">
        <v>1396.03</v>
      </c>
      <c r="Z1235" t="s">
        <v>5803</v>
      </c>
      <c r="AA1235" t="s">
        <v>5804</v>
      </c>
      <c r="AC1235" t="s">
        <v>6956</v>
      </c>
      <c r="AD1235" t="s">
        <v>7741</v>
      </c>
      <c r="AE1235" t="s">
        <v>8939</v>
      </c>
      <c r="AF1235">
        <v>2</v>
      </c>
      <c r="AG1235" t="s">
        <v>9269</v>
      </c>
      <c r="AH1235" t="s">
        <v>9282</v>
      </c>
      <c r="AI1235">
        <v>2</v>
      </c>
      <c r="AJ1235">
        <v>4</v>
      </c>
      <c r="AK1235">
        <v>0</v>
      </c>
      <c r="AL1235">
        <v>70.09</v>
      </c>
      <c r="AP1235">
        <v>17592</v>
      </c>
      <c r="AV1235">
        <v>1.6</v>
      </c>
      <c r="AW1235" t="s">
        <v>74</v>
      </c>
    </row>
    <row r="1236" spans="1:49">
      <c r="A1236" s="1">
        <f>HYPERLINK("https://cms.ls-nyc.org/matter/dynamic-profile/view/1894387","19-1894387")</f>
        <v>0</v>
      </c>
      <c r="B1236" t="s">
        <v>76</v>
      </c>
      <c r="C1236" t="s">
        <v>83</v>
      </c>
      <c r="D1236" t="s">
        <v>121</v>
      </c>
      <c r="F1236" t="s">
        <v>1183</v>
      </c>
      <c r="G1236" t="s">
        <v>1820</v>
      </c>
      <c r="H1236" t="s">
        <v>3548</v>
      </c>
      <c r="I1236">
        <v>502</v>
      </c>
      <c r="J1236" t="s">
        <v>4240</v>
      </c>
      <c r="K1236">
        <v>11373</v>
      </c>
      <c r="L1236" t="s">
        <v>4275</v>
      </c>
      <c r="M1236" t="s">
        <v>4275</v>
      </c>
      <c r="O1236" t="s">
        <v>4281</v>
      </c>
      <c r="P1236" t="s">
        <v>5389</v>
      </c>
      <c r="Q1236" t="s">
        <v>5731</v>
      </c>
      <c r="R1236" t="s">
        <v>5751</v>
      </c>
      <c r="T1236" t="s">
        <v>4276</v>
      </c>
      <c r="V1236" t="s">
        <v>5767</v>
      </c>
      <c r="X1236" t="s">
        <v>121</v>
      </c>
      <c r="Y1236">
        <v>1051.95</v>
      </c>
      <c r="Z1236" t="s">
        <v>5803</v>
      </c>
      <c r="AA1236" t="s">
        <v>5805</v>
      </c>
      <c r="AC1236" t="s">
        <v>6957</v>
      </c>
      <c r="AE1236" t="s">
        <v>8940</v>
      </c>
      <c r="AF1236">
        <v>0</v>
      </c>
      <c r="AG1236" t="s">
        <v>9270</v>
      </c>
      <c r="AH1236" t="s">
        <v>4280</v>
      </c>
      <c r="AI1236">
        <v>27</v>
      </c>
      <c r="AJ1236">
        <v>1</v>
      </c>
      <c r="AK1236">
        <v>0</v>
      </c>
      <c r="AL1236">
        <v>70.62</v>
      </c>
      <c r="AO1236" t="s">
        <v>9298</v>
      </c>
      <c r="AP1236">
        <v>8820</v>
      </c>
      <c r="AV1236">
        <v>5.2</v>
      </c>
      <c r="AW1236" t="s">
        <v>54</v>
      </c>
    </row>
    <row r="1237" spans="1:49">
      <c r="A1237" s="1">
        <f>HYPERLINK("https://cms.ls-nyc.org/matter/dynamic-profile/view/1877334","18-1877334")</f>
        <v>0</v>
      </c>
      <c r="B1237" t="s">
        <v>76</v>
      </c>
      <c r="C1237" t="s">
        <v>83</v>
      </c>
      <c r="D1237" t="s">
        <v>181</v>
      </c>
      <c r="F1237" t="s">
        <v>494</v>
      </c>
      <c r="G1237" t="s">
        <v>2261</v>
      </c>
      <c r="H1237" t="s">
        <v>3549</v>
      </c>
      <c r="J1237" t="s">
        <v>4260</v>
      </c>
      <c r="K1237">
        <v>11413</v>
      </c>
      <c r="L1237" t="s">
        <v>4275</v>
      </c>
      <c r="M1237" t="s">
        <v>4275</v>
      </c>
      <c r="O1237" t="s">
        <v>4282</v>
      </c>
      <c r="P1237" t="s">
        <v>5390</v>
      </c>
      <c r="Q1237" t="s">
        <v>5732</v>
      </c>
      <c r="R1237" t="s">
        <v>5753</v>
      </c>
      <c r="T1237" t="s">
        <v>4276</v>
      </c>
      <c r="V1237" t="s">
        <v>5767</v>
      </c>
      <c r="W1237" t="s">
        <v>5772</v>
      </c>
      <c r="X1237" t="s">
        <v>181</v>
      </c>
      <c r="Y1237">
        <v>1700</v>
      </c>
      <c r="Z1237" t="s">
        <v>5803</v>
      </c>
      <c r="AA1237" t="s">
        <v>5804</v>
      </c>
      <c r="AC1237" t="s">
        <v>6958</v>
      </c>
      <c r="AE1237" t="s">
        <v>8941</v>
      </c>
      <c r="AF1237">
        <v>2</v>
      </c>
      <c r="AG1237" t="s">
        <v>9269</v>
      </c>
      <c r="AH1237" t="s">
        <v>4280</v>
      </c>
      <c r="AI1237">
        <v>10</v>
      </c>
      <c r="AJ1237">
        <v>5</v>
      </c>
      <c r="AK1237">
        <v>1</v>
      </c>
      <c r="AL1237">
        <v>71.13</v>
      </c>
      <c r="AO1237" t="s">
        <v>1425</v>
      </c>
      <c r="AP1237">
        <v>24000</v>
      </c>
      <c r="AV1237">
        <v>4.05</v>
      </c>
      <c r="AW1237" t="s">
        <v>74</v>
      </c>
    </row>
    <row r="1238" spans="1:49">
      <c r="A1238" s="1">
        <f>HYPERLINK("https://cms.ls-nyc.org/matter/dynamic-profile/view/1884800","18-1884800")</f>
        <v>0</v>
      </c>
      <c r="B1238" t="s">
        <v>76</v>
      </c>
      <c r="C1238" t="s">
        <v>82</v>
      </c>
      <c r="D1238" t="s">
        <v>108</v>
      </c>
      <c r="E1238" t="s">
        <v>93</v>
      </c>
      <c r="F1238" t="s">
        <v>1184</v>
      </c>
      <c r="G1238" t="s">
        <v>2262</v>
      </c>
      <c r="H1238" t="s">
        <v>3550</v>
      </c>
      <c r="I1238" t="s">
        <v>3952</v>
      </c>
      <c r="J1238" t="s">
        <v>4222</v>
      </c>
      <c r="K1238">
        <v>11434</v>
      </c>
      <c r="L1238" t="s">
        <v>4275</v>
      </c>
      <c r="M1238" t="s">
        <v>4275</v>
      </c>
      <c r="O1238" t="s">
        <v>4281</v>
      </c>
      <c r="P1238" t="s">
        <v>5391</v>
      </c>
      <c r="Q1238" t="s">
        <v>5732</v>
      </c>
      <c r="R1238" t="s">
        <v>5751</v>
      </c>
      <c r="S1238" t="s">
        <v>5762</v>
      </c>
      <c r="T1238" t="s">
        <v>4276</v>
      </c>
      <c r="V1238" t="s">
        <v>5767</v>
      </c>
      <c r="W1238" t="s">
        <v>5772</v>
      </c>
      <c r="X1238" t="s">
        <v>108</v>
      </c>
      <c r="Y1238">
        <v>2000</v>
      </c>
      <c r="Z1238" t="s">
        <v>5803</v>
      </c>
      <c r="AA1238" t="s">
        <v>5805</v>
      </c>
      <c r="AB1238" t="s">
        <v>5822</v>
      </c>
      <c r="AC1238" t="s">
        <v>6959</v>
      </c>
      <c r="AE1238" t="s">
        <v>8942</v>
      </c>
      <c r="AF1238">
        <v>2</v>
      </c>
      <c r="AG1238" t="s">
        <v>9269</v>
      </c>
      <c r="AH1238" t="s">
        <v>4280</v>
      </c>
      <c r="AI1238">
        <v>1</v>
      </c>
      <c r="AJ1238">
        <v>2</v>
      </c>
      <c r="AK1238">
        <v>4</v>
      </c>
      <c r="AL1238">
        <v>74.09999999999999</v>
      </c>
      <c r="AO1238" t="s">
        <v>1425</v>
      </c>
      <c r="AP1238">
        <v>25000</v>
      </c>
      <c r="AR1238" t="s">
        <v>9329</v>
      </c>
      <c r="AS1238" t="s">
        <v>5806</v>
      </c>
      <c r="AT1238" t="s">
        <v>9370</v>
      </c>
      <c r="AU1238" t="s">
        <v>9407</v>
      </c>
      <c r="AV1238">
        <v>6.7</v>
      </c>
      <c r="AW1238" t="s">
        <v>60</v>
      </c>
    </row>
    <row r="1239" spans="1:49">
      <c r="A1239" s="1">
        <f>HYPERLINK("https://cms.ls-nyc.org/matter/dynamic-profile/view/1892070","19-1892070")</f>
        <v>0</v>
      </c>
      <c r="B1239" t="s">
        <v>76</v>
      </c>
      <c r="C1239" t="s">
        <v>83</v>
      </c>
      <c r="D1239" t="s">
        <v>89</v>
      </c>
      <c r="F1239" t="s">
        <v>320</v>
      </c>
      <c r="G1239" t="s">
        <v>2263</v>
      </c>
      <c r="H1239" t="s">
        <v>3551</v>
      </c>
      <c r="I1239" t="s">
        <v>4154</v>
      </c>
      <c r="J1239" t="s">
        <v>4240</v>
      </c>
      <c r="K1239">
        <v>11373</v>
      </c>
      <c r="L1239" t="s">
        <v>4275</v>
      </c>
      <c r="M1239" t="s">
        <v>4275</v>
      </c>
      <c r="O1239" t="s">
        <v>4281</v>
      </c>
      <c r="P1239" t="s">
        <v>5392</v>
      </c>
      <c r="Q1239" t="s">
        <v>5732</v>
      </c>
      <c r="R1239" t="s">
        <v>5751</v>
      </c>
      <c r="T1239" t="s">
        <v>4276</v>
      </c>
      <c r="V1239" t="s">
        <v>5767</v>
      </c>
      <c r="Y1239">
        <v>700</v>
      </c>
      <c r="Z1239" t="s">
        <v>5803</v>
      </c>
      <c r="AA1239" t="s">
        <v>5805</v>
      </c>
      <c r="AC1239" t="s">
        <v>6960</v>
      </c>
      <c r="AE1239" t="s">
        <v>8943</v>
      </c>
      <c r="AF1239">
        <v>0</v>
      </c>
      <c r="AG1239" t="s">
        <v>9270</v>
      </c>
      <c r="AH1239" t="s">
        <v>4280</v>
      </c>
      <c r="AI1239">
        <v>5</v>
      </c>
      <c r="AJ1239">
        <v>1</v>
      </c>
      <c r="AK1239">
        <v>0</v>
      </c>
      <c r="AL1239">
        <v>74.94</v>
      </c>
      <c r="AO1239" t="s">
        <v>1425</v>
      </c>
      <c r="AP1239">
        <v>9360</v>
      </c>
      <c r="AV1239">
        <v>17.6</v>
      </c>
      <c r="AW1239" t="s">
        <v>54</v>
      </c>
    </row>
    <row r="1240" spans="1:49">
      <c r="A1240" s="1">
        <f>HYPERLINK("https://cms.ls-nyc.org/matter/dynamic-profile/view/1881594","18-1881594")</f>
        <v>0</v>
      </c>
      <c r="B1240" t="s">
        <v>76</v>
      </c>
      <c r="C1240" t="s">
        <v>82</v>
      </c>
      <c r="D1240" t="s">
        <v>274</v>
      </c>
      <c r="E1240" t="s">
        <v>93</v>
      </c>
      <c r="F1240" t="s">
        <v>631</v>
      </c>
      <c r="G1240" t="s">
        <v>1683</v>
      </c>
      <c r="H1240" t="s">
        <v>3552</v>
      </c>
      <c r="I1240" t="s">
        <v>4155</v>
      </c>
      <c r="J1240" t="s">
        <v>4222</v>
      </c>
      <c r="K1240">
        <v>11434</v>
      </c>
      <c r="L1240" t="s">
        <v>4275</v>
      </c>
      <c r="M1240" t="s">
        <v>4275</v>
      </c>
      <c r="O1240" t="s">
        <v>4281</v>
      </c>
      <c r="P1240" t="s">
        <v>5393</v>
      </c>
      <c r="Q1240" t="s">
        <v>5732</v>
      </c>
      <c r="R1240" t="s">
        <v>5751</v>
      </c>
      <c r="S1240" t="s">
        <v>5764</v>
      </c>
      <c r="T1240" t="s">
        <v>4276</v>
      </c>
      <c r="V1240" t="s">
        <v>5767</v>
      </c>
      <c r="W1240" t="s">
        <v>5772</v>
      </c>
      <c r="X1240" t="s">
        <v>274</v>
      </c>
      <c r="Y1240">
        <v>1800</v>
      </c>
      <c r="Z1240" t="s">
        <v>5803</v>
      </c>
      <c r="AA1240" t="s">
        <v>5807</v>
      </c>
      <c r="AB1240" t="s">
        <v>5820</v>
      </c>
      <c r="AC1240" t="s">
        <v>6961</v>
      </c>
      <c r="AE1240" t="s">
        <v>8944</v>
      </c>
      <c r="AF1240">
        <v>293</v>
      </c>
      <c r="AG1240" t="s">
        <v>9273</v>
      </c>
      <c r="AH1240" t="s">
        <v>4280</v>
      </c>
      <c r="AI1240">
        <v>3</v>
      </c>
      <c r="AJ1240">
        <v>3</v>
      </c>
      <c r="AK1240">
        <v>1</v>
      </c>
      <c r="AL1240">
        <v>76.48999999999999</v>
      </c>
      <c r="AO1240" t="s">
        <v>1425</v>
      </c>
      <c r="AP1240">
        <v>19200</v>
      </c>
      <c r="AR1240" t="s">
        <v>9329</v>
      </c>
      <c r="AS1240" t="s">
        <v>9336</v>
      </c>
      <c r="AT1240" t="s">
        <v>9369</v>
      </c>
      <c r="AU1240" t="s">
        <v>9514</v>
      </c>
      <c r="AV1240">
        <v>38.25</v>
      </c>
      <c r="AW1240" t="s">
        <v>73</v>
      </c>
    </row>
    <row r="1241" spans="1:49">
      <c r="A1241" s="1">
        <f>HYPERLINK("https://cms.ls-nyc.org/matter/dynamic-profile/view/1900818","19-1900818")</f>
        <v>0</v>
      </c>
      <c r="B1241" t="s">
        <v>76</v>
      </c>
      <c r="C1241" t="s">
        <v>83</v>
      </c>
      <c r="D1241" t="s">
        <v>166</v>
      </c>
      <c r="F1241" t="s">
        <v>1185</v>
      </c>
      <c r="G1241" t="s">
        <v>1691</v>
      </c>
      <c r="H1241" t="s">
        <v>3553</v>
      </c>
      <c r="I1241">
        <v>105</v>
      </c>
      <c r="J1241" t="s">
        <v>4229</v>
      </c>
      <c r="K1241">
        <v>11355</v>
      </c>
      <c r="L1241" t="s">
        <v>4275</v>
      </c>
      <c r="M1241" t="s">
        <v>4277</v>
      </c>
      <c r="N1241" t="s">
        <v>4278</v>
      </c>
      <c r="O1241" t="s">
        <v>4282</v>
      </c>
      <c r="P1241" t="s">
        <v>5394</v>
      </c>
      <c r="Q1241" t="s">
        <v>5732</v>
      </c>
      <c r="R1241" t="s">
        <v>5751</v>
      </c>
      <c r="T1241" t="s">
        <v>4276</v>
      </c>
      <c r="V1241" t="s">
        <v>5767</v>
      </c>
      <c r="X1241" t="s">
        <v>166</v>
      </c>
      <c r="Y1241">
        <v>1130</v>
      </c>
      <c r="Z1241" t="s">
        <v>5803</v>
      </c>
      <c r="AA1241" t="s">
        <v>5805</v>
      </c>
      <c r="AC1241" t="s">
        <v>6962</v>
      </c>
      <c r="AE1241" t="s">
        <v>8945</v>
      </c>
      <c r="AF1241">
        <v>20</v>
      </c>
      <c r="AH1241" t="s">
        <v>9287</v>
      </c>
      <c r="AI1241">
        <v>35</v>
      </c>
      <c r="AJ1241">
        <v>1</v>
      </c>
      <c r="AK1241">
        <v>0</v>
      </c>
      <c r="AL1241">
        <v>77.44</v>
      </c>
      <c r="AO1241" t="s">
        <v>1425</v>
      </c>
      <c r="AP1241">
        <v>9672</v>
      </c>
      <c r="AV1241">
        <v>9</v>
      </c>
      <c r="AW1241" t="s">
        <v>54</v>
      </c>
    </row>
    <row r="1242" spans="1:49">
      <c r="A1242" s="1">
        <f>HYPERLINK("https://cms.ls-nyc.org/matter/dynamic-profile/view/1882672","18-1882672")</f>
        <v>0</v>
      </c>
      <c r="B1242" t="s">
        <v>76</v>
      </c>
      <c r="C1242" t="s">
        <v>83</v>
      </c>
      <c r="D1242" t="s">
        <v>111</v>
      </c>
      <c r="F1242" t="s">
        <v>1036</v>
      </c>
      <c r="G1242" t="s">
        <v>1612</v>
      </c>
      <c r="H1242" t="s">
        <v>3554</v>
      </c>
      <c r="I1242" t="s">
        <v>3894</v>
      </c>
      <c r="J1242" t="s">
        <v>4234</v>
      </c>
      <c r="K1242">
        <v>11102</v>
      </c>
      <c r="L1242" t="s">
        <v>4275</v>
      </c>
      <c r="M1242" t="s">
        <v>4275</v>
      </c>
      <c r="O1242" t="s">
        <v>4282</v>
      </c>
      <c r="P1242" t="s">
        <v>5395</v>
      </c>
      <c r="Q1242" t="s">
        <v>5731</v>
      </c>
      <c r="R1242" t="s">
        <v>5753</v>
      </c>
      <c r="T1242" t="s">
        <v>4276</v>
      </c>
      <c r="V1242" t="s">
        <v>5767</v>
      </c>
      <c r="W1242" t="s">
        <v>5771</v>
      </c>
      <c r="X1242" t="s">
        <v>111</v>
      </c>
      <c r="Y1242">
        <v>664</v>
      </c>
      <c r="Z1242" t="s">
        <v>5803</v>
      </c>
      <c r="AA1242" t="s">
        <v>5804</v>
      </c>
      <c r="AC1242" t="s">
        <v>6963</v>
      </c>
      <c r="AD1242" t="s">
        <v>7742</v>
      </c>
      <c r="AE1242" t="s">
        <v>8946</v>
      </c>
      <c r="AF1242">
        <v>48</v>
      </c>
      <c r="AG1242" t="s">
        <v>9271</v>
      </c>
      <c r="AH1242" t="s">
        <v>4280</v>
      </c>
      <c r="AI1242">
        <v>4</v>
      </c>
      <c r="AJ1242">
        <v>2</v>
      </c>
      <c r="AK1242">
        <v>3</v>
      </c>
      <c r="AL1242">
        <v>78.65000000000001</v>
      </c>
      <c r="AO1242" t="s">
        <v>1425</v>
      </c>
      <c r="AP1242">
        <v>23140</v>
      </c>
      <c r="AV1242">
        <v>2.2</v>
      </c>
      <c r="AW1242" t="s">
        <v>73</v>
      </c>
    </row>
    <row r="1243" spans="1:49">
      <c r="A1243" s="1">
        <f>HYPERLINK("https://cms.ls-nyc.org/matter/dynamic-profile/view/1882993","18-1882993")</f>
        <v>0</v>
      </c>
      <c r="B1243" t="s">
        <v>76</v>
      </c>
      <c r="C1243" t="s">
        <v>83</v>
      </c>
      <c r="D1243" t="s">
        <v>223</v>
      </c>
      <c r="F1243" t="s">
        <v>1186</v>
      </c>
      <c r="G1243" t="s">
        <v>2264</v>
      </c>
      <c r="H1243" t="s">
        <v>3555</v>
      </c>
      <c r="I1243" t="s">
        <v>3856</v>
      </c>
      <c r="J1243" t="s">
        <v>4225</v>
      </c>
      <c r="K1243">
        <v>11385</v>
      </c>
      <c r="L1243" t="s">
        <v>4275</v>
      </c>
      <c r="M1243" t="s">
        <v>4275</v>
      </c>
      <c r="O1243" t="s">
        <v>4281</v>
      </c>
      <c r="P1243" t="s">
        <v>5396</v>
      </c>
      <c r="Q1243" t="s">
        <v>5731</v>
      </c>
      <c r="R1243" t="s">
        <v>5751</v>
      </c>
      <c r="T1243" t="s">
        <v>4276</v>
      </c>
      <c r="V1243" t="s">
        <v>5767</v>
      </c>
      <c r="X1243" t="s">
        <v>5789</v>
      </c>
      <c r="Y1243">
        <v>1000</v>
      </c>
      <c r="Z1243" t="s">
        <v>5803</v>
      </c>
      <c r="AA1243" t="s">
        <v>5804</v>
      </c>
      <c r="AC1243" t="s">
        <v>6964</v>
      </c>
      <c r="AE1243" t="s">
        <v>8947</v>
      </c>
      <c r="AF1243">
        <v>6</v>
      </c>
      <c r="AG1243" t="s">
        <v>9272</v>
      </c>
      <c r="AH1243" t="s">
        <v>4280</v>
      </c>
      <c r="AI1243">
        <v>23</v>
      </c>
      <c r="AJ1243">
        <v>3</v>
      </c>
      <c r="AK1243">
        <v>0</v>
      </c>
      <c r="AL1243">
        <v>78.88</v>
      </c>
      <c r="AO1243" t="s">
        <v>9298</v>
      </c>
      <c r="AP1243">
        <v>16392</v>
      </c>
      <c r="AV1243">
        <v>75.15000000000001</v>
      </c>
      <c r="AW1243" t="s">
        <v>54</v>
      </c>
    </row>
    <row r="1244" spans="1:49">
      <c r="A1244" s="1">
        <f>HYPERLINK("https://cms.ls-nyc.org/matter/dynamic-profile/view/1874536","18-1874536")</f>
        <v>0</v>
      </c>
      <c r="B1244" t="s">
        <v>76</v>
      </c>
      <c r="C1244" t="s">
        <v>83</v>
      </c>
      <c r="D1244" t="s">
        <v>103</v>
      </c>
      <c r="F1244" t="s">
        <v>1185</v>
      </c>
      <c r="G1244" t="s">
        <v>1691</v>
      </c>
      <c r="H1244" t="s">
        <v>3553</v>
      </c>
      <c r="I1244">
        <v>105</v>
      </c>
      <c r="J1244" t="s">
        <v>4229</v>
      </c>
      <c r="K1244">
        <v>11355</v>
      </c>
      <c r="L1244" t="s">
        <v>4275</v>
      </c>
      <c r="M1244" t="s">
        <v>4277</v>
      </c>
      <c r="O1244" t="s">
        <v>4282</v>
      </c>
      <c r="P1244" t="s">
        <v>5397</v>
      </c>
      <c r="Q1244" t="s">
        <v>5731</v>
      </c>
      <c r="R1244" t="s">
        <v>5751</v>
      </c>
      <c r="T1244" t="s">
        <v>4276</v>
      </c>
      <c r="V1244" t="s">
        <v>5767</v>
      </c>
      <c r="W1244" t="s">
        <v>5772</v>
      </c>
      <c r="Y1244">
        <v>1130</v>
      </c>
      <c r="Z1244" t="s">
        <v>5803</v>
      </c>
      <c r="AA1244" t="s">
        <v>5804</v>
      </c>
      <c r="AC1244" t="s">
        <v>6962</v>
      </c>
      <c r="AE1244" t="s">
        <v>8945</v>
      </c>
      <c r="AF1244">
        <v>20</v>
      </c>
      <c r="AH1244" t="s">
        <v>9287</v>
      </c>
      <c r="AI1244">
        <v>35</v>
      </c>
      <c r="AJ1244">
        <v>1</v>
      </c>
      <c r="AK1244">
        <v>0</v>
      </c>
      <c r="AL1244">
        <v>79.67</v>
      </c>
      <c r="AN1244" t="s">
        <v>9294</v>
      </c>
      <c r="AO1244" t="s">
        <v>1425</v>
      </c>
      <c r="AP1244">
        <v>9672</v>
      </c>
      <c r="AV1244">
        <v>63.95</v>
      </c>
      <c r="AW1244" t="s">
        <v>54</v>
      </c>
    </row>
    <row r="1245" spans="1:49">
      <c r="A1245" s="1">
        <f>HYPERLINK("https://cms.ls-nyc.org/matter/dynamic-profile/view/1879897","18-1879897")</f>
        <v>0</v>
      </c>
      <c r="B1245" t="s">
        <v>76</v>
      </c>
      <c r="C1245" t="s">
        <v>83</v>
      </c>
      <c r="D1245" t="s">
        <v>92</v>
      </c>
      <c r="F1245" t="s">
        <v>387</v>
      </c>
      <c r="G1245" t="s">
        <v>2265</v>
      </c>
      <c r="H1245" t="s">
        <v>3556</v>
      </c>
      <c r="I1245">
        <v>11694</v>
      </c>
      <c r="J1245" t="s">
        <v>4246</v>
      </c>
      <c r="K1245">
        <v>11694</v>
      </c>
      <c r="L1245" t="s">
        <v>4275</v>
      </c>
      <c r="M1245" t="s">
        <v>4275</v>
      </c>
      <c r="O1245" t="s">
        <v>4282</v>
      </c>
      <c r="P1245" t="s">
        <v>5398</v>
      </c>
      <c r="Q1245" t="s">
        <v>5732</v>
      </c>
      <c r="R1245" t="s">
        <v>5753</v>
      </c>
      <c r="T1245" t="s">
        <v>4276</v>
      </c>
      <c r="V1245" t="s">
        <v>5767</v>
      </c>
      <c r="W1245" t="s">
        <v>5772</v>
      </c>
      <c r="X1245" t="s">
        <v>92</v>
      </c>
      <c r="Y1245">
        <v>1500</v>
      </c>
      <c r="Z1245" t="s">
        <v>5803</v>
      </c>
      <c r="AA1245" t="s">
        <v>5804</v>
      </c>
      <c r="AC1245" t="s">
        <v>6965</v>
      </c>
      <c r="AD1245" t="s">
        <v>7743</v>
      </c>
      <c r="AE1245" t="s">
        <v>8948</v>
      </c>
      <c r="AF1245">
        <v>5</v>
      </c>
      <c r="AG1245" t="s">
        <v>9269</v>
      </c>
      <c r="AH1245" t="s">
        <v>4280</v>
      </c>
      <c r="AI1245">
        <v>1</v>
      </c>
      <c r="AJ1245">
        <v>1</v>
      </c>
      <c r="AK1245">
        <v>0</v>
      </c>
      <c r="AL1245">
        <v>82.04000000000001</v>
      </c>
      <c r="AO1245" t="s">
        <v>1425</v>
      </c>
      <c r="AP1245">
        <v>9960</v>
      </c>
      <c r="AV1245">
        <v>1.7</v>
      </c>
      <c r="AW1245" t="s">
        <v>74</v>
      </c>
    </row>
    <row r="1246" spans="1:49">
      <c r="A1246" s="1">
        <f>HYPERLINK("https://cms.ls-nyc.org/matter/dynamic-profile/view/1883061","18-1883061")</f>
        <v>0</v>
      </c>
      <c r="B1246" t="s">
        <v>76</v>
      </c>
      <c r="C1246" t="s">
        <v>83</v>
      </c>
      <c r="D1246" t="s">
        <v>223</v>
      </c>
      <c r="F1246" t="s">
        <v>376</v>
      </c>
      <c r="G1246" t="s">
        <v>2266</v>
      </c>
      <c r="H1246" t="s">
        <v>3557</v>
      </c>
      <c r="I1246" t="s">
        <v>3909</v>
      </c>
      <c r="J1246" t="s">
        <v>4231</v>
      </c>
      <c r="K1246">
        <v>11419</v>
      </c>
      <c r="L1246" t="s">
        <v>4275</v>
      </c>
      <c r="M1246" t="s">
        <v>4275</v>
      </c>
      <c r="O1246" t="s">
        <v>4282</v>
      </c>
      <c r="P1246" t="s">
        <v>5399</v>
      </c>
      <c r="Q1246" t="s">
        <v>5732</v>
      </c>
      <c r="R1246" t="s">
        <v>5753</v>
      </c>
      <c r="T1246" t="s">
        <v>4276</v>
      </c>
      <c r="V1246" t="s">
        <v>5767</v>
      </c>
      <c r="W1246" t="s">
        <v>5772</v>
      </c>
      <c r="X1246" t="s">
        <v>196</v>
      </c>
      <c r="Y1246">
        <v>511</v>
      </c>
      <c r="Z1246" t="s">
        <v>5803</v>
      </c>
      <c r="AA1246" t="s">
        <v>5804</v>
      </c>
      <c r="AC1246" t="s">
        <v>6966</v>
      </c>
      <c r="AD1246" t="s">
        <v>7744</v>
      </c>
      <c r="AE1246" t="s">
        <v>8949</v>
      </c>
      <c r="AF1246">
        <v>2</v>
      </c>
      <c r="AG1246" t="s">
        <v>9269</v>
      </c>
      <c r="AH1246" t="s">
        <v>9282</v>
      </c>
      <c r="AI1246">
        <v>23</v>
      </c>
      <c r="AJ1246">
        <v>1</v>
      </c>
      <c r="AK1246">
        <v>0</v>
      </c>
      <c r="AL1246">
        <v>82.04000000000001</v>
      </c>
      <c r="AO1246" t="s">
        <v>9298</v>
      </c>
      <c r="AP1246">
        <v>9960</v>
      </c>
      <c r="AV1246">
        <v>1.2</v>
      </c>
      <c r="AW1246" t="s">
        <v>73</v>
      </c>
    </row>
    <row r="1247" spans="1:49">
      <c r="A1247" s="1">
        <f>HYPERLINK("https://cms.ls-nyc.org/matter/dynamic-profile/view/1894980","19-1894980")</f>
        <v>0</v>
      </c>
      <c r="B1247" t="s">
        <v>76</v>
      </c>
      <c r="C1247" t="s">
        <v>83</v>
      </c>
      <c r="D1247" t="s">
        <v>101</v>
      </c>
      <c r="F1247" t="s">
        <v>1187</v>
      </c>
      <c r="G1247" t="s">
        <v>2267</v>
      </c>
      <c r="H1247" t="s">
        <v>3558</v>
      </c>
      <c r="I1247" t="s">
        <v>3856</v>
      </c>
      <c r="J1247" t="s">
        <v>4226</v>
      </c>
      <c r="K1247">
        <v>11385</v>
      </c>
      <c r="L1247" t="s">
        <v>4275</v>
      </c>
      <c r="M1247" t="s">
        <v>4275</v>
      </c>
      <c r="O1247" t="s">
        <v>4281</v>
      </c>
      <c r="P1247" t="s">
        <v>5400</v>
      </c>
      <c r="Q1247" t="s">
        <v>5731</v>
      </c>
      <c r="R1247" t="s">
        <v>5751</v>
      </c>
      <c r="T1247" t="s">
        <v>4276</v>
      </c>
      <c r="V1247" t="s">
        <v>5767</v>
      </c>
      <c r="X1247" t="s">
        <v>101</v>
      </c>
      <c r="Y1247">
        <v>1750</v>
      </c>
      <c r="Z1247" t="s">
        <v>5803</v>
      </c>
      <c r="AA1247" t="s">
        <v>5805</v>
      </c>
      <c r="AC1247" t="s">
        <v>6967</v>
      </c>
      <c r="AE1247" t="s">
        <v>8950</v>
      </c>
      <c r="AF1247">
        <v>2</v>
      </c>
      <c r="AG1247" t="s">
        <v>9270</v>
      </c>
      <c r="AH1247" t="s">
        <v>4280</v>
      </c>
      <c r="AI1247">
        <v>1</v>
      </c>
      <c r="AJ1247">
        <v>2</v>
      </c>
      <c r="AK1247">
        <v>3</v>
      </c>
      <c r="AL1247">
        <v>84.84999999999999</v>
      </c>
      <c r="AO1247" t="s">
        <v>9298</v>
      </c>
      <c r="AP1247">
        <v>25600</v>
      </c>
      <c r="AV1247">
        <v>0.2</v>
      </c>
      <c r="AW1247" t="s">
        <v>54</v>
      </c>
    </row>
    <row r="1248" spans="1:49">
      <c r="A1248" s="1">
        <f>HYPERLINK("https://cms.ls-nyc.org/matter/dynamic-profile/view/1873213","18-1873213")</f>
        <v>0</v>
      </c>
      <c r="B1248" t="s">
        <v>76</v>
      </c>
      <c r="C1248" t="s">
        <v>83</v>
      </c>
      <c r="D1248" t="s">
        <v>133</v>
      </c>
      <c r="F1248" t="s">
        <v>1188</v>
      </c>
      <c r="G1248" t="s">
        <v>2268</v>
      </c>
      <c r="H1248" t="s">
        <v>3559</v>
      </c>
      <c r="J1248" t="s">
        <v>4243</v>
      </c>
      <c r="K1248">
        <v>11691</v>
      </c>
      <c r="L1248" t="s">
        <v>4275</v>
      </c>
      <c r="M1248" t="s">
        <v>4275</v>
      </c>
      <c r="O1248" t="s">
        <v>4283</v>
      </c>
      <c r="P1248" t="s">
        <v>5401</v>
      </c>
      <c r="Q1248" t="s">
        <v>5732</v>
      </c>
      <c r="R1248" t="s">
        <v>5753</v>
      </c>
      <c r="T1248" t="s">
        <v>4276</v>
      </c>
      <c r="V1248" t="s">
        <v>5767</v>
      </c>
      <c r="W1248" t="s">
        <v>5772</v>
      </c>
      <c r="X1248" t="s">
        <v>5789</v>
      </c>
      <c r="Y1248">
        <v>500</v>
      </c>
      <c r="Z1248" t="s">
        <v>5803</v>
      </c>
      <c r="AA1248" t="s">
        <v>5804</v>
      </c>
      <c r="AC1248" t="s">
        <v>6968</v>
      </c>
      <c r="AD1248" t="s">
        <v>4381</v>
      </c>
      <c r="AE1248" t="s">
        <v>8951</v>
      </c>
      <c r="AF1248">
        <v>2</v>
      </c>
      <c r="AG1248" t="s">
        <v>9269</v>
      </c>
      <c r="AH1248" t="s">
        <v>4280</v>
      </c>
      <c r="AI1248">
        <v>3</v>
      </c>
      <c r="AJ1248">
        <v>2</v>
      </c>
      <c r="AK1248">
        <v>1</v>
      </c>
      <c r="AL1248">
        <v>86.62</v>
      </c>
      <c r="AN1248" t="s">
        <v>9294</v>
      </c>
      <c r="AO1248" t="s">
        <v>1425</v>
      </c>
      <c r="AP1248">
        <v>18000</v>
      </c>
      <c r="AV1248">
        <v>1.85</v>
      </c>
      <c r="AW1248" t="s">
        <v>54</v>
      </c>
    </row>
    <row r="1249" spans="1:49">
      <c r="A1249" s="1">
        <f>HYPERLINK("https://cms.ls-nyc.org/matter/dynamic-profile/view/1882753","18-1882753")</f>
        <v>0</v>
      </c>
      <c r="B1249" t="s">
        <v>76</v>
      </c>
      <c r="C1249" t="s">
        <v>83</v>
      </c>
      <c r="D1249" t="s">
        <v>111</v>
      </c>
      <c r="F1249" t="s">
        <v>1189</v>
      </c>
      <c r="G1249" t="s">
        <v>1845</v>
      </c>
      <c r="H1249" t="s">
        <v>3560</v>
      </c>
      <c r="I1249" t="s">
        <v>3932</v>
      </c>
      <c r="J1249" t="s">
        <v>4250</v>
      </c>
      <c r="K1249">
        <v>11412</v>
      </c>
      <c r="L1249" t="s">
        <v>4275</v>
      </c>
      <c r="M1249" t="s">
        <v>4275</v>
      </c>
      <c r="O1249" t="s">
        <v>4282</v>
      </c>
      <c r="P1249" t="s">
        <v>5402</v>
      </c>
      <c r="Q1249" t="s">
        <v>5732</v>
      </c>
      <c r="R1249" t="s">
        <v>5753</v>
      </c>
      <c r="T1249" t="s">
        <v>4276</v>
      </c>
      <c r="V1249" t="s">
        <v>5767</v>
      </c>
      <c r="W1249" t="s">
        <v>5771</v>
      </c>
      <c r="X1249" t="s">
        <v>111</v>
      </c>
      <c r="Y1249">
        <v>1156.76</v>
      </c>
      <c r="Z1249" t="s">
        <v>5803</v>
      </c>
      <c r="AA1249" t="s">
        <v>5804</v>
      </c>
      <c r="AC1249" t="s">
        <v>6969</v>
      </c>
      <c r="AD1249" t="s">
        <v>7745</v>
      </c>
      <c r="AE1249" t="s">
        <v>8952</v>
      </c>
      <c r="AF1249">
        <v>87</v>
      </c>
      <c r="AG1249" t="s">
        <v>9272</v>
      </c>
      <c r="AH1249" t="s">
        <v>4280</v>
      </c>
      <c r="AI1249">
        <v>12</v>
      </c>
      <c r="AJ1249">
        <v>2</v>
      </c>
      <c r="AK1249">
        <v>0</v>
      </c>
      <c r="AL1249">
        <v>87.48</v>
      </c>
      <c r="AO1249" t="s">
        <v>1425</v>
      </c>
      <c r="AP1249">
        <v>14400</v>
      </c>
      <c r="AV1249">
        <v>1</v>
      </c>
      <c r="AW1249" t="s">
        <v>73</v>
      </c>
    </row>
    <row r="1250" spans="1:49">
      <c r="A1250" s="1">
        <f>HYPERLINK("https://cms.ls-nyc.org/matter/dynamic-profile/view/1876183","18-1876183")</f>
        <v>0</v>
      </c>
      <c r="B1250" t="s">
        <v>76</v>
      </c>
      <c r="C1250" t="s">
        <v>82</v>
      </c>
      <c r="D1250" t="s">
        <v>260</v>
      </c>
      <c r="E1250" t="s">
        <v>93</v>
      </c>
      <c r="F1250" t="s">
        <v>1143</v>
      </c>
      <c r="G1250" t="s">
        <v>2269</v>
      </c>
      <c r="H1250" t="s">
        <v>3561</v>
      </c>
      <c r="I1250" t="s">
        <v>4156</v>
      </c>
      <c r="J1250" t="s">
        <v>4251</v>
      </c>
      <c r="K1250">
        <v>11377</v>
      </c>
      <c r="L1250" t="s">
        <v>4275</v>
      </c>
      <c r="M1250" t="s">
        <v>4275</v>
      </c>
      <c r="O1250" t="s">
        <v>4282</v>
      </c>
      <c r="P1250" t="s">
        <v>5403</v>
      </c>
      <c r="Q1250" t="s">
        <v>5731</v>
      </c>
      <c r="R1250" t="s">
        <v>5751</v>
      </c>
      <c r="S1250" t="s">
        <v>5758</v>
      </c>
      <c r="T1250" t="s">
        <v>4276</v>
      </c>
      <c r="V1250" t="s">
        <v>5767</v>
      </c>
      <c r="W1250" t="s">
        <v>5771</v>
      </c>
      <c r="X1250" t="s">
        <v>260</v>
      </c>
      <c r="Y1250">
        <v>1085</v>
      </c>
      <c r="Z1250" t="s">
        <v>5803</v>
      </c>
      <c r="AA1250" t="s">
        <v>5804</v>
      </c>
      <c r="AB1250" t="s">
        <v>5820</v>
      </c>
      <c r="AC1250" t="s">
        <v>6970</v>
      </c>
      <c r="AD1250" t="s">
        <v>7746</v>
      </c>
      <c r="AE1250" t="s">
        <v>8953</v>
      </c>
      <c r="AF1250">
        <v>23</v>
      </c>
      <c r="AG1250" t="s">
        <v>9272</v>
      </c>
      <c r="AH1250" t="s">
        <v>4280</v>
      </c>
      <c r="AI1250">
        <v>9</v>
      </c>
      <c r="AJ1250">
        <v>1</v>
      </c>
      <c r="AK1250">
        <v>3</v>
      </c>
      <c r="AL1250">
        <v>87.65000000000001</v>
      </c>
      <c r="AO1250" t="s">
        <v>9298</v>
      </c>
      <c r="AP1250">
        <v>22000</v>
      </c>
      <c r="AR1250" t="s">
        <v>9326</v>
      </c>
      <c r="AS1250" t="s">
        <v>9336</v>
      </c>
      <c r="AT1250" t="s">
        <v>9369</v>
      </c>
      <c r="AU1250" t="s">
        <v>9481</v>
      </c>
      <c r="AV1250">
        <v>28.65</v>
      </c>
      <c r="AW1250" t="s">
        <v>73</v>
      </c>
    </row>
    <row r="1251" spans="1:49">
      <c r="A1251" s="1">
        <f>HYPERLINK("https://cms.ls-nyc.org/matter/dynamic-profile/view/1872227","18-1872227")</f>
        <v>0</v>
      </c>
      <c r="B1251" t="s">
        <v>76</v>
      </c>
      <c r="C1251" t="s">
        <v>83</v>
      </c>
      <c r="D1251" t="s">
        <v>262</v>
      </c>
      <c r="F1251" t="s">
        <v>382</v>
      </c>
      <c r="G1251" t="s">
        <v>2270</v>
      </c>
      <c r="H1251" t="s">
        <v>2636</v>
      </c>
      <c r="I1251" t="s">
        <v>4157</v>
      </c>
      <c r="J1251" t="s">
        <v>4240</v>
      </c>
      <c r="K1251">
        <v>11373</v>
      </c>
      <c r="L1251" t="s">
        <v>4275</v>
      </c>
      <c r="M1251" t="s">
        <v>4275</v>
      </c>
      <c r="O1251" t="s">
        <v>4281</v>
      </c>
      <c r="P1251" t="s">
        <v>5404</v>
      </c>
      <c r="Q1251" t="s">
        <v>5731</v>
      </c>
      <c r="R1251" t="s">
        <v>5753</v>
      </c>
      <c r="T1251" t="s">
        <v>4276</v>
      </c>
      <c r="V1251" t="s">
        <v>5767</v>
      </c>
      <c r="W1251" t="s">
        <v>5771</v>
      </c>
      <c r="X1251" t="s">
        <v>261</v>
      </c>
      <c r="Y1251">
        <v>1023</v>
      </c>
      <c r="Z1251" t="s">
        <v>5803</v>
      </c>
      <c r="AA1251" t="s">
        <v>5819</v>
      </c>
      <c r="AC1251" t="s">
        <v>6971</v>
      </c>
      <c r="AD1251" t="s">
        <v>4280</v>
      </c>
      <c r="AE1251" t="s">
        <v>8954</v>
      </c>
      <c r="AF1251">
        <v>125</v>
      </c>
      <c r="AG1251" t="s">
        <v>9272</v>
      </c>
      <c r="AH1251" t="s">
        <v>9287</v>
      </c>
      <c r="AI1251">
        <v>40</v>
      </c>
      <c r="AJ1251">
        <v>1</v>
      </c>
      <c r="AK1251">
        <v>0</v>
      </c>
      <c r="AL1251">
        <v>88.95999999999999</v>
      </c>
      <c r="AO1251" t="s">
        <v>1425</v>
      </c>
      <c r="AP1251">
        <v>10800</v>
      </c>
      <c r="AV1251">
        <v>2.7</v>
      </c>
      <c r="AW1251" t="s">
        <v>73</v>
      </c>
    </row>
    <row r="1252" spans="1:49">
      <c r="A1252" s="1">
        <f>HYPERLINK("https://cms.ls-nyc.org/matter/dynamic-profile/view/1875061","18-1875061")</f>
        <v>0</v>
      </c>
      <c r="B1252" t="s">
        <v>76</v>
      </c>
      <c r="C1252" t="s">
        <v>83</v>
      </c>
      <c r="D1252" t="s">
        <v>118</v>
      </c>
      <c r="F1252" t="s">
        <v>1190</v>
      </c>
      <c r="G1252" t="s">
        <v>2271</v>
      </c>
      <c r="H1252" t="s">
        <v>3562</v>
      </c>
      <c r="I1252" t="s">
        <v>4158</v>
      </c>
      <c r="J1252" t="s">
        <v>4245</v>
      </c>
      <c r="K1252">
        <v>11418</v>
      </c>
      <c r="L1252" t="s">
        <v>4275</v>
      </c>
      <c r="M1252" t="s">
        <v>4275</v>
      </c>
      <c r="O1252" t="s">
        <v>4282</v>
      </c>
      <c r="P1252" t="s">
        <v>5405</v>
      </c>
      <c r="Q1252" t="s">
        <v>5731</v>
      </c>
      <c r="R1252" t="s">
        <v>5753</v>
      </c>
      <c r="T1252" t="s">
        <v>4276</v>
      </c>
      <c r="V1252" t="s">
        <v>5767</v>
      </c>
      <c r="W1252" t="s">
        <v>5772</v>
      </c>
      <c r="X1252" t="s">
        <v>118</v>
      </c>
      <c r="Y1252">
        <v>1175</v>
      </c>
      <c r="Z1252" t="s">
        <v>5803</v>
      </c>
      <c r="AA1252" t="s">
        <v>5804</v>
      </c>
      <c r="AC1252" t="s">
        <v>6972</v>
      </c>
      <c r="AD1252" t="s">
        <v>4280</v>
      </c>
      <c r="AE1252" t="s">
        <v>8955</v>
      </c>
      <c r="AF1252">
        <v>35</v>
      </c>
      <c r="AG1252" t="s">
        <v>9272</v>
      </c>
      <c r="AH1252" t="s">
        <v>4280</v>
      </c>
      <c r="AI1252">
        <v>13</v>
      </c>
      <c r="AJ1252">
        <v>2</v>
      </c>
      <c r="AK1252">
        <v>0</v>
      </c>
      <c r="AL1252">
        <v>91.13</v>
      </c>
      <c r="AO1252" t="s">
        <v>1425</v>
      </c>
      <c r="AP1252">
        <v>15000</v>
      </c>
      <c r="AV1252">
        <v>1.35</v>
      </c>
      <c r="AW1252" t="s">
        <v>73</v>
      </c>
    </row>
    <row r="1253" spans="1:49">
      <c r="A1253" s="1">
        <f>HYPERLINK("https://cms.ls-nyc.org/matter/dynamic-profile/view/1881205","18-1881205")</f>
        <v>0</v>
      </c>
      <c r="B1253" t="s">
        <v>76</v>
      </c>
      <c r="C1253" t="s">
        <v>83</v>
      </c>
      <c r="D1253" t="s">
        <v>140</v>
      </c>
      <c r="F1253" t="s">
        <v>1191</v>
      </c>
      <c r="G1253" t="s">
        <v>1396</v>
      </c>
      <c r="H1253" t="s">
        <v>3563</v>
      </c>
      <c r="I1253">
        <v>61</v>
      </c>
      <c r="J1253" t="s">
        <v>4222</v>
      </c>
      <c r="K1253">
        <v>11435</v>
      </c>
      <c r="L1253" t="s">
        <v>4275</v>
      </c>
      <c r="M1253" t="s">
        <v>4275</v>
      </c>
      <c r="O1253" t="s">
        <v>4282</v>
      </c>
      <c r="P1253" t="s">
        <v>5406</v>
      </c>
      <c r="Q1253" t="s">
        <v>5732</v>
      </c>
      <c r="R1253" t="s">
        <v>5753</v>
      </c>
      <c r="T1253" t="s">
        <v>4276</v>
      </c>
      <c r="V1253" t="s">
        <v>5767</v>
      </c>
      <c r="W1253" t="s">
        <v>5772</v>
      </c>
      <c r="X1253" t="s">
        <v>140</v>
      </c>
      <c r="Y1253">
        <v>1100</v>
      </c>
      <c r="Z1253" t="s">
        <v>5803</v>
      </c>
      <c r="AA1253" t="s">
        <v>5804</v>
      </c>
      <c r="AC1253" t="s">
        <v>6973</v>
      </c>
      <c r="AE1253" t="s">
        <v>8956</v>
      </c>
      <c r="AF1253">
        <v>69</v>
      </c>
      <c r="AG1253" t="s">
        <v>9268</v>
      </c>
      <c r="AH1253" t="s">
        <v>9282</v>
      </c>
      <c r="AI1253">
        <v>69</v>
      </c>
      <c r="AJ1253">
        <v>1</v>
      </c>
      <c r="AK1253">
        <v>0</v>
      </c>
      <c r="AL1253">
        <v>94.2</v>
      </c>
      <c r="AO1253" t="s">
        <v>1425</v>
      </c>
      <c r="AP1253">
        <v>11436</v>
      </c>
      <c r="AV1253">
        <v>1</v>
      </c>
      <c r="AW1253" t="s">
        <v>73</v>
      </c>
    </row>
    <row r="1254" spans="1:49">
      <c r="A1254" s="1">
        <f>HYPERLINK("https://cms.ls-nyc.org/matter/dynamic-profile/view/1881198","18-1881198")</f>
        <v>0</v>
      </c>
      <c r="B1254" t="s">
        <v>76</v>
      </c>
      <c r="C1254" t="s">
        <v>83</v>
      </c>
      <c r="D1254" t="s">
        <v>140</v>
      </c>
      <c r="F1254" t="s">
        <v>1192</v>
      </c>
      <c r="G1254" t="s">
        <v>2198</v>
      </c>
      <c r="H1254" t="s">
        <v>3564</v>
      </c>
      <c r="I1254" t="s">
        <v>4158</v>
      </c>
      <c r="J1254" t="s">
        <v>4241</v>
      </c>
      <c r="K1254">
        <v>11368</v>
      </c>
      <c r="L1254" t="s">
        <v>4275</v>
      </c>
      <c r="M1254" t="s">
        <v>4275</v>
      </c>
      <c r="O1254" t="s">
        <v>4282</v>
      </c>
      <c r="P1254" t="s">
        <v>5407</v>
      </c>
      <c r="Q1254" t="s">
        <v>5731</v>
      </c>
      <c r="R1254" t="s">
        <v>5753</v>
      </c>
      <c r="T1254" t="s">
        <v>4276</v>
      </c>
      <c r="V1254" t="s">
        <v>5767</v>
      </c>
      <c r="W1254" t="s">
        <v>5772</v>
      </c>
      <c r="X1254" t="s">
        <v>140</v>
      </c>
      <c r="Y1254">
        <v>757</v>
      </c>
      <c r="Z1254" t="s">
        <v>5803</v>
      </c>
      <c r="AA1254" t="s">
        <v>5804</v>
      </c>
      <c r="AC1254" t="s">
        <v>6974</v>
      </c>
      <c r="AD1254" t="s">
        <v>7747</v>
      </c>
      <c r="AE1254" t="s">
        <v>8957</v>
      </c>
      <c r="AF1254">
        <v>24</v>
      </c>
      <c r="AG1254" t="s">
        <v>9272</v>
      </c>
      <c r="AH1254" t="s">
        <v>9287</v>
      </c>
      <c r="AI1254">
        <v>40</v>
      </c>
      <c r="AJ1254">
        <v>2</v>
      </c>
      <c r="AK1254">
        <v>0</v>
      </c>
      <c r="AL1254">
        <v>96.89</v>
      </c>
      <c r="AO1254" t="s">
        <v>1425</v>
      </c>
      <c r="AP1254">
        <v>15948</v>
      </c>
      <c r="AV1254">
        <v>1</v>
      </c>
      <c r="AW1254" t="s">
        <v>73</v>
      </c>
    </row>
    <row r="1255" spans="1:49">
      <c r="A1255" s="1">
        <f>HYPERLINK("https://cms.ls-nyc.org/matter/dynamic-profile/view/1888160","19-1888160")</f>
        <v>0</v>
      </c>
      <c r="B1255" t="s">
        <v>76</v>
      </c>
      <c r="C1255" t="s">
        <v>83</v>
      </c>
      <c r="D1255" t="s">
        <v>144</v>
      </c>
      <c r="F1255" t="s">
        <v>1193</v>
      </c>
      <c r="G1255" t="s">
        <v>2272</v>
      </c>
      <c r="H1255" t="s">
        <v>3565</v>
      </c>
      <c r="I1255" t="s">
        <v>3850</v>
      </c>
      <c r="J1255" t="s">
        <v>4240</v>
      </c>
      <c r="K1255">
        <v>11373</v>
      </c>
      <c r="L1255" t="s">
        <v>4275</v>
      </c>
      <c r="M1255" t="s">
        <v>4275</v>
      </c>
      <c r="O1255" t="s">
        <v>4281</v>
      </c>
      <c r="P1255" t="s">
        <v>5408</v>
      </c>
      <c r="Q1255" t="s">
        <v>5731</v>
      </c>
      <c r="R1255" t="s">
        <v>5751</v>
      </c>
      <c r="T1255" t="s">
        <v>4275</v>
      </c>
      <c r="V1255" t="s">
        <v>5767</v>
      </c>
      <c r="W1255" t="s">
        <v>5772</v>
      </c>
      <c r="Y1255">
        <v>1275</v>
      </c>
      <c r="Z1255" t="s">
        <v>5803</v>
      </c>
      <c r="AA1255" t="s">
        <v>5805</v>
      </c>
      <c r="AC1255" t="s">
        <v>6975</v>
      </c>
      <c r="AE1255" t="s">
        <v>8958</v>
      </c>
      <c r="AF1255">
        <v>0</v>
      </c>
      <c r="AI1255">
        <v>8</v>
      </c>
      <c r="AJ1255">
        <v>1</v>
      </c>
      <c r="AK1255">
        <v>1</v>
      </c>
      <c r="AL1255">
        <v>97.20999999999999</v>
      </c>
      <c r="AO1255" t="s">
        <v>9298</v>
      </c>
      <c r="AP1255">
        <v>16000</v>
      </c>
      <c r="AV1255">
        <v>12.1</v>
      </c>
      <c r="AW1255" t="s">
        <v>60</v>
      </c>
    </row>
    <row r="1256" spans="1:49">
      <c r="A1256" s="1">
        <f>HYPERLINK("https://cms.ls-nyc.org/matter/dynamic-profile/view/1879861","18-1879861")</f>
        <v>0</v>
      </c>
      <c r="B1256" t="s">
        <v>76</v>
      </c>
      <c r="C1256" t="s">
        <v>83</v>
      </c>
      <c r="D1256" t="s">
        <v>92</v>
      </c>
      <c r="F1256" t="s">
        <v>368</v>
      </c>
      <c r="G1256" t="s">
        <v>1701</v>
      </c>
      <c r="H1256" t="s">
        <v>3566</v>
      </c>
      <c r="I1256" t="s">
        <v>3984</v>
      </c>
      <c r="J1256" t="s">
        <v>4258</v>
      </c>
      <c r="K1256">
        <v>11370</v>
      </c>
      <c r="L1256" t="s">
        <v>4275</v>
      </c>
      <c r="M1256" t="s">
        <v>4275</v>
      </c>
      <c r="O1256" t="s">
        <v>4282</v>
      </c>
      <c r="P1256" t="s">
        <v>5409</v>
      </c>
      <c r="Q1256" t="s">
        <v>5732</v>
      </c>
      <c r="R1256" t="s">
        <v>5753</v>
      </c>
      <c r="T1256" t="s">
        <v>4276</v>
      </c>
      <c r="V1256" t="s">
        <v>5767</v>
      </c>
      <c r="W1256" t="s">
        <v>5772</v>
      </c>
      <c r="X1256" t="s">
        <v>92</v>
      </c>
      <c r="Y1256">
        <v>2300</v>
      </c>
      <c r="Z1256" t="s">
        <v>5803</v>
      </c>
      <c r="AA1256" t="s">
        <v>5804</v>
      </c>
      <c r="AC1256" t="s">
        <v>6976</v>
      </c>
      <c r="AE1256" t="s">
        <v>8959</v>
      </c>
      <c r="AF1256">
        <v>3</v>
      </c>
      <c r="AG1256" t="s">
        <v>9270</v>
      </c>
      <c r="AH1256" t="s">
        <v>4280</v>
      </c>
      <c r="AI1256">
        <v>5</v>
      </c>
      <c r="AJ1256">
        <v>2</v>
      </c>
      <c r="AK1256">
        <v>2</v>
      </c>
      <c r="AL1256">
        <v>99.59999999999999</v>
      </c>
      <c r="AO1256" t="s">
        <v>1425</v>
      </c>
      <c r="AP1256">
        <v>25000</v>
      </c>
      <c r="AV1256">
        <v>1.8</v>
      </c>
      <c r="AW1256" t="s">
        <v>54</v>
      </c>
    </row>
    <row r="1257" spans="1:49">
      <c r="A1257" s="1">
        <f>HYPERLINK("https://cms.ls-nyc.org/matter/dynamic-profile/view/1878131","18-1878131")</f>
        <v>0</v>
      </c>
      <c r="B1257" t="s">
        <v>76</v>
      </c>
      <c r="C1257" t="s">
        <v>82</v>
      </c>
      <c r="D1257" t="s">
        <v>188</v>
      </c>
      <c r="E1257" t="s">
        <v>298</v>
      </c>
      <c r="F1257" t="s">
        <v>1194</v>
      </c>
      <c r="G1257" t="s">
        <v>1580</v>
      </c>
      <c r="H1257" t="s">
        <v>3567</v>
      </c>
      <c r="I1257" t="s">
        <v>3923</v>
      </c>
      <c r="J1257" t="s">
        <v>4233</v>
      </c>
      <c r="K1257">
        <v>11375</v>
      </c>
      <c r="L1257" t="s">
        <v>4275</v>
      </c>
      <c r="M1257" t="s">
        <v>4275</v>
      </c>
      <c r="O1257" t="s">
        <v>4282</v>
      </c>
      <c r="P1257" t="s">
        <v>5410</v>
      </c>
      <c r="Q1257" t="s">
        <v>5732</v>
      </c>
      <c r="R1257" t="s">
        <v>5751</v>
      </c>
      <c r="S1257" t="s">
        <v>5758</v>
      </c>
      <c r="T1257" t="s">
        <v>4276</v>
      </c>
      <c r="V1257" t="s">
        <v>5767</v>
      </c>
      <c r="W1257" t="s">
        <v>5772</v>
      </c>
      <c r="X1257" t="s">
        <v>188</v>
      </c>
      <c r="Y1257">
        <v>2200</v>
      </c>
      <c r="Z1257" t="s">
        <v>5803</v>
      </c>
      <c r="AA1257" t="s">
        <v>5804</v>
      </c>
      <c r="AB1257" t="s">
        <v>5820</v>
      </c>
      <c r="AC1257" t="s">
        <v>6977</v>
      </c>
      <c r="AD1257" t="s">
        <v>7748</v>
      </c>
      <c r="AE1257" t="s">
        <v>8960</v>
      </c>
      <c r="AF1257">
        <v>70</v>
      </c>
      <c r="AG1257" t="s">
        <v>9269</v>
      </c>
      <c r="AH1257" t="s">
        <v>4280</v>
      </c>
      <c r="AI1257">
        <v>2</v>
      </c>
      <c r="AJ1257">
        <v>1</v>
      </c>
      <c r="AK1257">
        <v>3</v>
      </c>
      <c r="AL1257">
        <v>100.4</v>
      </c>
      <c r="AO1257" t="s">
        <v>1425</v>
      </c>
      <c r="AP1257">
        <v>25200</v>
      </c>
      <c r="AR1257" t="s">
        <v>9329</v>
      </c>
      <c r="AS1257" t="s">
        <v>9340</v>
      </c>
      <c r="AT1257" t="s">
        <v>9369</v>
      </c>
      <c r="AU1257" t="s">
        <v>9514</v>
      </c>
      <c r="AV1257">
        <v>34.8</v>
      </c>
      <c r="AW1257" t="s">
        <v>74</v>
      </c>
    </row>
    <row r="1258" spans="1:49">
      <c r="A1258" s="1">
        <f>HYPERLINK("https://cms.ls-nyc.org/matter/dynamic-profile/view/1893986","19-1893986")</f>
        <v>0</v>
      </c>
      <c r="B1258" t="s">
        <v>76</v>
      </c>
      <c r="C1258" t="s">
        <v>83</v>
      </c>
      <c r="D1258" t="s">
        <v>96</v>
      </c>
      <c r="F1258" t="s">
        <v>667</v>
      </c>
      <c r="G1258" t="s">
        <v>578</v>
      </c>
      <c r="H1258" t="s">
        <v>3568</v>
      </c>
      <c r="I1258" t="s">
        <v>4062</v>
      </c>
      <c r="J1258" t="s">
        <v>4234</v>
      </c>
      <c r="K1258">
        <v>11105</v>
      </c>
      <c r="L1258" t="s">
        <v>4275</v>
      </c>
      <c r="M1258" t="s">
        <v>4275</v>
      </c>
      <c r="O1258" t="s">
        <v>4282</v>
      </c>
      <c r="P1258" t="s">
        <v>5411</v>
      </c>
      <c r="Q1258" t="s">
        <v>5731</v>
      </c>
      <c r="R1258" t="s">
        <v>5752</v>
      </c>
      <c r="T1258" t="s">
        <v>4275</v>
      </c>
      <c r="V1258" t="s">
        <v>5767</v>
      </c>
      <c r="X1258" t="s">
        <v>96</v>
      </c>
      <c r="Y1258">
        <v>1320.58</v>
      </c>
      <c r="Z1258" t="s">
        <v>5803</v>
      </c>
      <c r="AA1258" t="s">
        <v>5804</v>
      </c>
      <c r="AC1258" t="s">
        <v>6978</v>
      </c>
      <c r="AE1258" t="s">
        <v>8961</v>
      </c>
      <c r="AF1258">
        <v>0</v>
      </c>
      <c r="AI1258">
        <v>0</v>
      </c>
      <c r="AJ1258">
        <v>2</v>
      </c>
      <c r="AK1258">
        <v>2</v>
      </c>
      <c r="AL1258">
        <v>100.97</v>
      </c>
      <c r="AO1258" t="s">
        <v>1425</v>
      </c>
      <c r="AP1258">
        <v>26000</v>
      </c>
      <c r="AV1258">
        <v>1</v>
      </c>
      <c r="AW1258" t="s">
        <v>9547</v>
      </c>
    </row>
    <row r="1259" spans="1:49">
      <c r="A1259" s="1">
        <f>HYPERLINK("https://cms.ls-nyc.org/matter/dynamic-profile/view/1894503","19-1894503")</f>
        <v>0</v>
      </c>
      <c r="B1259" t="s">
        <v>76</v>
      </c>
      <c r="C1259" t="s">
        <v>83</v>
      </c>
      <c r="D1259" t="s">
        <v>169</v>
      </c>
      <c r="F1259" t="s">
        <v>700</v>
      </c>
      <c r="G1259" t="s">
        <v>2273</v>
      </c>
      <c r="H1259" t="s">
        <v>3569</v>
      </c>
      <c r="J1259" t="s">
        <v>4249</v>
      </c>
      <c r="K1259">
        <v>11428</v>
      </c>
      <c r="L1259" t="s">
        <v>4275</v>
      </c>
      <c r="M1259" t="s">
        <v>4275</v>
      </c>
      <c r="O1259" t="s">
        <v>4282</v>
      </c>
      <c r="P1259" t="s">
        <v>5412</v>
      </c>
      <c r="Q1259" t="s">
        <v>5732</v>
      </c>
      <c r="R1259" t="s">
        <v>5752</v>
      </c>
      <c r="T1259" t="s">
        <v>4276</v>
      </c>
      <c r="V1259" t="s">
        <v>5767</v>
      </c>
      <c r="X1259" t="s">
        <v>169</v>
      </c>
      <c r="Y1259">
        <v>0</v>
      </c>
      <c r="Z1259" t="s">
        <v>5803</v>
      </c>
      <c r="AA1259" t="s">
        <v>5804</v>
      </c>
      <c r="AC1259" t="s">
        <v>6979</v>
      </c>
      <c r="AE1259" t="s">
        <v>8962</v>
      </c>
      <c r="AF1259">
        <v>0</v>
      </c>
      <c r="AG1259" t="s">
        <v>9270</v>
      </c>
      <c r="AH1259" t="s">
        <v>4280</v>
      </c>
      <c r="AI1259">
        <v>13</v>
      </c>
      <c r="AJ1259">
        <v>2</v>
      </c>
      <c r="AK1259">
        <v>0</v>
      </c>
      <c r="AL1259">
        <v>101.83</v>
      </c>
      <c r="AO1259" t="s">
        <v>1425</v>
      </c>
      <c r="AP1259">
        <v>17220</v>
      </c>
      <c r="AV1259">
        <v>1.4</v>
      </c>
      <c r="AW1259" t="s">
        <v>54</v>
      </c>
    </row>
    <row r="1260" spans="1:49">
      <c r="A1260" s="1">
        <f>HYPERLINK("https://cms.ls-nyc.org/matter/dynamic-profile/view/1880692","18-1880692")</f>
        <v>0</v>
      </c>
      <c r="B1260" t="s">
        <v>76</v>
      </c>
      <c r="C1260" t="s">
        <v>83</v>
      </c>
      <c r="D1260" t="s">
        <v>84</v>
      </c>
      <c r="F1260" t="s">
        <v>1195</v>
      </c>
      <c r="G1260" t="s">
        <v>2274</v>
      </c>
      <c r="H1260" t="s">
        <v>3570</v>
      </c>
      <c r="J1260" t="s">
        <v>4222</v>
      </c>
      <c r="K1260">
        <v>11436</v>
      </c>
      <c r="L1260" t="s">
        <v>4275</v>
      </c>
      <c r="M1260" t="s">
        <v>4275</v>
      </c>
      <c r="O1260" t="s">
        <v>4282</v>
      </c>
      <c r="P1260" t="s">
        <v>5413</v>
      </c>
      <c r="Q1260" t="s">
        <v>5732</v>
      </c>
      <c r="R1260" t="s">
        <v>5753</v>
      </c>
      <c r="T1260" t="s">
        <v>4276</v>
      </c>
      <c r="V1260" t="s">
        <v>5767</v>
      </c>
      <c r="W1260" t="s">
        <v>5772</v>
      </c>
      <c r="X1260" t="s">
        <v>84</v>
      </c>
      <c r="Y1260">
        <v>0</v>
      </c>
      <c r="Z1260" t="s">
        <v>5803</v>
      </c>
      <c r="AA1260" t="s">
        <v>5804</v>
      </c>
      <c r="AC1260" t="s">
        <v>6980</v>
      </c>
      <c r="AD1260" t="s">
        <v>7749</v>
      </c>
      <c r="AE1260" t="s">
        <v>8963</v>
      </c>
      <c r="AF1260">
        <v>2</v>
      </c>
      <c r="AG1260" t="s">
        <v>9269</v>
      </c>
      <c r="AH1260" t="s">
        <v>4280</v>
      </c>
      <c r="AI1260">
        <v>17</v>
      </c>
      <c r="AJ1260">
        <v>1</v>
      </c>
      <c r="AK1260">
        <v>1</v>
      </c>
      <c r="AL1260">
        <v>101.85</v>
      </c>
      <c r="AO1260" t="s">
        <v>1425</v>
      </c>
      <c r="AP1260">
        <v>16764</v>
      </c>
      <c r="AV1260">
        <v>1.45</v>
      </c>
      <c r="AW1260" t="s">
        <v>54</v>
      </c>
    </row>
    <row r="1261" spans="1:49">
      <c r="A1261" s="1">
        <f>HYPERLINK("https://cms.ls-nyc.org/matter/dynamic-profile/view/1877577","18-1877577")</f>
        <v>0</v>
      </c>
      <c r="B1261" t="s">
        <v>76</v>
      </c>
      <c r="C1261" t="s">
        <v>83</v>
      </c>
      <c r="D1261" t="s">
        <v>180</v>
      </c>
      <c r="F1261" t="s">
        <v>1196</v>
      </c>
      <c r="G1261" t="s">
        <v>1947</v>
      </c>
      <c r="H1261" t="s">
        <v>3571</v>
      </c>
      <c r="I1261" t="s">
        <v>3934</v>
      </c>
      <c r="J1261" t="s">
        <v>4240</v>
      </c>
      <c r="K1261">
        <v>11373</v>
      </c>
      <c r="L1261" t="s">
        <v>4275</v>
      </c>
      <c r="M1261" t="s">
        <v>4275</v>
      </c>
      <c r="O1261" t="s">
        <v>4281</v>
      </c>
      <c r="P1261" t="s">
        <v>5414</v>
      </c>
      <c r="Q1261" t="s">
        <v>5731</v>
      </c>
      <c r="R1261" t="s">
        <v>5751</v>
      </c>
      <c r="T1261" t="s">
        <v>4276</v>
      </c>
      <c r="V1261" t="s">
        <v>5767</v>
      </c>
      <c r="W1261" t="s">
        <v>5772</v>
      </c>
      <c r="X1261" t="s">
        <v>242</v>
      </c>
      <c r="Y1261">
        <v>2500</v>
      </c>
      <c r="Z1261" t="s">
        <v>5803</v>
      </c>
      <c r="AA1261" t="s">
        <v>5804</v>
      </c>
      <c r="AC1261" t="s">
        <v>6981</v>
      </c>
      <c r="AF1261">
        <v>5</v>
      </c>
      <c r="AG1261" t="s">
        <v>9269</v>
      </c>
      <c r="AH1261" t="s">
        <v>4280</v>
      </c>
      <c r="AI1261">
        <v>1</v>
      </c>
      <c r="AJ1261">
        <v>2</v>
      </c>
      <c r="AK1261">
        <v>3</v>
      </c>
      <c r="AL1261">
        <v>101.97</v>
      </c>
      <c r="AO1261" t="s">
        <v>9298</v>
      </c>
      <c r="AP1261">
        <v>30000</v>
      </c>
      <c r="AV1261">
        <v>74.65000000000001</v>
      </c>
      <c r="AW1261" t="s">
        <v>73</v>
      </c>
    </row>
    <row r="1262" spans="1:49">
      <c r="A1262" s="1">
        <f>HYPERLINK("https://cms.ls-nyc.org/matter/dynamic-profile/view/1881217","18-1881217")</f>
        <v>0</v>
      </c>
      <c r="B1262" t="s">
        <v>76</v>
      </c>
      <c r="C1262" t="s">
        <v>83</v>
      </c>
      <c r="D1262" t="s">
        <v>140</v>
      </c>
      <c r="F1262" t="s">
        <v>543</v>
      </c>
      <c r="G1262" t="s">
        <v>2275</v>
      </c>
      <c r="H1262" t="s">
        <v>3572</v>
      </c>
      <c r="J1262" t="s">
        <v>4229</v>
      </c>
      <c r="K1262">
        <v>11355</v>
      </c>
      <c r="L1262" t="s">
        <v>4275</v>
      </c>
      <c r="M1262" t="s">
        <v>4275</v>
      </c>
      <c r="O1262" t="s">
        <v>4282</v>
      </c>
      <c r="P1262" t="s">
        <v>5415</v>
      </c>
      <c r="Q1262" t="s">
        <v>5732</v>
      </c>
      <c r="R1262" t="s">
        <v>5752</v>
      </c>
      <c r="T1262" t="s">
        <v>4276</v>
      </c>
      <c r="V1262" t="s">
        <v>5767</v>
      </c>
      <c r="Y1262">
        <v>1400</v>
      </c>
      <c r="Z1262" t="s">
        <v>5803</v>
      </c>
      <c r="AA1262" t="s">
        <v>5804</v>
      </c>
      <c r="AC1262" t="s">
        <v>6982</v>
      </c>
      <c r="AE1262" t="s">
        <v>8964</v>
      </c>
      <c r="AF1262">
        <v>0</v>
      </c>
      <c r="AG1262" t="s">
        <v>9270</v>
      </c>
      <c r="AI1262">
        <v>8</v>
      </c>
      <c r="AJ1262">
        <v>2</v>
      </c>
      <c r="AK1262">
        <v>1</v>
      </c>
      <c r="AL1262">
        <v>105.1</v>
      </c>
      <c r="AO1262" t="s">
        <v>1425</v>
      </c>
      <c r="AP1262">
        <v>21840</v>
      </c>
      <c r="AV1262">
        <v>1</v>
      </c>
      <c r="AW1262" t="s">
        <v>54</v>
      </c>
    </row>
    <row r="1263" spans="1:49">
      <c r="A1263" s="1">
        <f>HYPERLINK("https://cms.ls-nyc.org/matter/dynamic-profile/view/1873931","18-1873931")</f>
        <v>0</v>
      </c>
      <c r="B1263" t="s">
        <v>76</v>
      </c>
      <c r="C1263" t="s">
        <v>82</v>
      </c>
      <c r="D1263" t="s">
        <v>131</v>
      </c>
      <c r="E1263" t="s">
        <v>275</v>
      </c>
      <c r="F1263" t="s">
        <v>1194</v>
      </c>
      <c r="G1263" t="s">
        <v>1580</v>
      </c>
      <c r="H1263" t="s">
        <v>3567</v>
      </c>
      <c r="I1263" t="s">
        <v>3923</v>
      </c>
      <c r="J1263" t="s">
        <v>4233</v>
      </c>
      <c r="K1263">
        <v>11375</v>
      </c>
      <c r="L1263" t="s">
        <v>4275</v>
      </c>
      <c r="M1263" t="s">
        <v>4275</v>
      </c>
      <c r="O1263" t="s">
        <v>4282</v>
      </c>
      <c r="P1263" t="s">
        <v>5416</v>
      </c>
      <c r="Q1263" t="s">
        <v>5731</v>
      </c>
      <c r="R1263" t="s">
        <v>5751</v>
      </c>
      <c r="S1263" t="s">
        <v>5758</v>
      </c>
      <c r="T1263" t="s">
        <v>4276</v>
      </c>
      <c r="V1263" t="s">
        <v>5767</v>
      </c>
      <c r="W1263" t="s">
        <v>5772</v>
      </c>
      <c r="X1263" t="s">
        <v>131</v>
      </c>
      <c r="Y1263">
        <v>2200</v>
      </c>
      <c r="Z1263" t="s">
        <v>5803</v>
      </c>
      <c r="AA1263" t="s">
        <v>5804</v>
      </c>
      <c r="AB1263" t="s">
        <v>5820</v>
      </c>
      <c r="AC1263" t="s">
        <v>6977</v>
      </c>
      <c r="AD1263" t="s">
        <v>7748</v>
      </c>
      <c r="AE1263" t="s">
        <v>8960</v>
      </c>
      <c r="AF1263">
        <v>70</v>
      </c>
      <c r="AG1263" t="s">
        <v>9272</v>
      </c>
      <c r="AH1263" t="s">
        <v>4280</v>
      </c>
      <c r="AI1263">
        <v>2</v>
      </c>
      <c r="AJ1263">
        <v>1</v>
      </c>
      <c r="AK1263">
        <v>3</v>
      </c>
      <c r="AL1263">
        <v>106.71</v>
      </c>
      <c r="AN1263" t="s">
        <v>9294</v>
      </c>
      <c r="AO1263" t="s">
        <v>1425</v>
      </c>
      <c r="AP1263">
        <v>26785.2</v>
      </c>
      <c r="AR1263" t="s">
        <v>9328</v>
      </c>
      <c r="AS1263" t="s">
        <v>9340</v>
      </c>
      <c r="AT1263" t="s">
        <v>9369</v>
      </c>
      <c r="AU1263" t="s">
        <v>9407</v>
      </c>
      <c r="AV1263">
        <v>36.45</v>
      </c>
      <c r="AW1263" t="s">
        <v>54</v>
      </c>
    </row>
    <row r="1264" spans="1:49">
      <c r="A1264" s="1">
        <f>HYPERLINK("https://cms.ls-nyc.org/matter/dynamic-profile/view/1875076","18-1875076")</f>
        <v>0</v>
      </c>
      <c r="B1264" t="s">
        <v>76</v>
      </c>
      <c r="C1264" t="s">
        <v>83</v>
      </c>
      <c r="D1264" t="s">
        <v>118</v>
      </c>
      <c r="F1264" t="s">
        <v>1197</v>
      </c>
      <c r="G1264" t="s">
        <v>2276</v>
      </c>
      <c r="H1264" t="s">
        <v>3573</v>
      </c>
      <c r="I1264" t="s">
        <v>3880</v>
      </c>
      <c r="J1264" t="s">
        <v>4243</v>
      </c>
      <c r="K1264">
        <v>11691</v>
      </c>
      <c r="L1264" t="s">
        <v>4275</v>
      </c>
      <c r="M1264" t="s">
        <v>4275</v>
      </c>
      <c r="O1264" t="s">
        <v>4283</v>
      </c>
      <c r="P1264" t="s">
        <v>5417</v>
      </c>
      <c r="Q1264" t="s">
        <v>5732</v>
      </c>
      <c r="R1264" t="s">
        <v>5753</v>
      </c>
      <c r="T1264" t="s">
        <v>4276</v>
      </c>
      <c r="V1264" t="s">
        <v>5767</v>
      </c>
      <c r="W1264" t="s">
        <v>5772</v>
      </c>
      <c r="X1264" t="s">
        <v>118</v>
      </c>
      <c r="Y1264">
        <v>940</v>
      </c>
      <c r="Z1264" t="s">
        <v>5803</v>
      </c>
      <c r="AA1264" t="s">
        <v>5804</v>
      </c>
      <c r="AC1264" t="s">
        <v>6983</v>
      </c>
      <c r="AD1264" t="s">
        <v>4280</v>
      </c>
      <c r="AE1264" t="s">
        <v>8965</v>
      </c>
      <c r="AF1264">
        <v>68</v>
      </c>
      <c r="AG1264" t="s">
        <v>9272</v>
      </c>
      <c r="AH1264" t="s">
        <v>4280</v>
      </c>
      <c r="AI1264">
        <v>6</v>
      </c>
      <c r="AJ1264">
        <v>1</v>
      </c>
      <c r="AK1264">
        <v>0</v>
      </c>
      <c r="AL1264">
        <v>115.32</v>
      </c>
      <c r="AO1264" t="s">
        <v>1425</v>
      </c>
      <c r="AP1264">
        <v>14000</v>
      </c>
      <c r="AV1264">
        <v>2.25</v>
      </c>
      <c r="AW1264" t="s">
        <v>73</v>
      </c>
    </row>
    <row r="1265" spans="1:49">
      <c r="A1265" s="1">
        <f>HYPERLINK("https://cms.ls-nyc.org/matter/dynamic-profile/view/1890925","19-1890925")</f>
        <v>0</v>
      </c>
      <c r="B1265" t="s">
        <v>76</v>
      </c>
      <c r="C1265" t="s">
        <v>83</v>
      </c>
      <c r="D1265" t="s">
        <v>98</v>
      </c>
      <c r="F1265" t="s">
        <v>1198</v>
      </c>
      <c r="G1265" t="s">
        <v>1322</v>
      </c>
      <c r="H1265" t="s">
        <v>3574</v>
      </c>
      <c r="I1265" t="s">
        <v>3996</v>
      </c>
      <c r="J1265" t="s">
        <v>4229</v>
      </c>
      <c r="K1265">
        <v>11354</v>
      </c>
      <c r="L1265" t="s">
        <v>4275</v>
      </c>
      <c r="M1265" t="s">
        <v>4275</v>
      </c>
      <c r="O1265" t="s">
        <v>4282</v>
      </c>
      <c r="P1265" t="s">
        <v>5418</v>
      </c>
      <c r="Q1265" t="s">
        <v>5731</v>
      </c>
      <c r="R1265" t="s">
        <v>5751</v>
      </c>
      <c r="T1265" t="s">
        <v>4276</v>
      </c>
      <c r="V1265" t="s">
        <v>5767</v>
      </c>
      <c r="W1265" t="s">
        <v>5772</v>
      </c>
      <c r="X1265" t="s">
        <v>98</v>
      </c>
      <c r="Y1265">
        <v>1550</v>
      </c>
      <c r="Z1265" t="s">
        <v>5803</v>
      </c>
      <c r="AA1265" t="s">
        <v>5804</v>
      </c>
      <c r="AC1265" t="s">
        <v>6984</v>
      </c>
      <c r="AE1265" t="s">
        <v>8966</v>
      </c>
      <c r="AF1265">
        <v>0</v>
      </c>
      <c r="AG1265" t="s">
        <v>9270</v>
      </c>
      <c r="AH1265" t="s">
        <v>4280</v>
      </c>
      <c r="AI1265">
        <v>-1</v>
      </c>
      <c r="AJ1265">
        <v>2</v>
      </c>
      <c r="AK1265">
        <v>2</v>
      </c>
      <c r="AL1265">
        <v>116.5</v>
      </c>
      <c r="AO1265" t="s">
        <v>9298</v>
      </c>
      <c r="AP1265">
        <v>30000</v>
      </c>
      <c r="AV1265">
        <v>7</v>
      </c>
      <c r="AW1265" t="s">
        <v>54</v>
      </c>
    </row>
    <row r="1266" spans="1:49">
      <c r="A1266" s="1">
        <f>HYPERLINK("https://cms.ls-nyc.org/matter/dynamic-profile/view/1878708","18-1878708")</f>
        <v>0</v>
      </c>
      <c r="B1266" t="s">
        <v>76</v>
      </c>
      <c r="C1266" t="s">
        <v>83</v>
      </c>
      <c r="D1266" t="s">
        <v>147</v>
      </c>
      <c r="F1266" t="s">
        <v>1199</v>
      </c>
      <c r="G1266" t="s">
        <v>1445</v>
      </c>
      <c r="H1266" t="s">
        <v>2656</v>
      </c>
      <c r="I1266">
        <v>405</v>
      </c>
      <c r="J1266" t="s">
        <v>4254</v>
      </c>
      <c r="K1266">
        <v>11692</v>
      </c>
      <c r="L1266" t="s">
        <v>4275</v>
      </c>
      <c r="M1266" t="s">
        <v>4275</v>
      </c>
      <c r="O1266" t="s">
        <v>4283</v>
      </c>
      <c r="P1266" t="s">
        <v>5419</v>
      </c>
      <c r="Q1266" t="s">
        <v>5731</v>
      </c>
      <c r="R1266" t="s">
        <v>5753</v>
      </c>
      <c r="T1266" t="s">
        <v>4276</v>
      </c>
      <c r="V1266" t="s">
        <v>5767</v>
      </c>
      <c r="W1266" t="s">
        <v>5772</v>
      </c>
      <c r="X1266" t="s">
        <v>147</v>
      </c>
      <c r="Y1266">
        <v>1500</v>
      </c>
      <c r="Z1266" t="s">
        <v>5803</v>
      </c>
      <c r="AA1266" t="s">
        <v>5804</v>
      </c>
      <c r="AC1266" t="s">
        <v>6985</v>
      </c>
      <c r="AD1266" t="s">
        <v>7750</v>
      </c>
      <c r="AE1266" t="s">
        <v>8967</v>
      </c>
      <c r="AF1266">
        <v>103</v>
      </c>
      <c r="AG1266" t="s">
        <v>9268</v>
      </c>
      <c r="AH1266" t="s">
        <v>9282</v>
      </c>
      <c r="AI1266">
        <v>32</v>
      </c>
      <c r="AJ1266">
        <v>2</v>
      </c>
      <c r="AK1266">
        <v>0</v>
      </c>
      <c r="AL1266">
        <v>116.65</v>
      </c>
      <c r="AO1266" t="s">
        <v>1425</v>
      </c>
      <c r="AP1266">
        <v>19200</v>
      </c>
      <c r="AV1266">
        <v>1.25</v>
      </c>
      <c r="AW1266" t="s">
        <v>73</v>
      </c>
    </row>
    <row r="1267" spans="1:49">
      <c r="A1267" s="1">
        <f>HYPERLINK("https://cms.ls-nyc.org/matter/dynamic-profile/view/1877313","18-1877313")</f>
        <v>0</v>
      </c>
      <c r="B1267" t="s">
        <v>76</v>
      </c>
      <c r="C1267" t="s">
        <v>83</v>
      </c>
      <c r="D1267" t="s">
        <v>181</v>
      </c>
      <c r="F1267" t="s">
        <v>477</v>
      </c>
      <c r="G1267" t="s">
        <v>2277</v>
      </c>
      <c r="H1267" t="s">
        <v>3575</v>
      </c>
      <c r="I1267" t="s">
        <v>3866</v>
      </c>
      <c r="J1267" t="s">
        <v>4243</v>
      </c>
      <c r="K1267">
        <v>11691</v>
      </c>
      <c r="L1267" t="s">
        <v>4275</v>
      </c>
      <c r="M1267" t="s">
        <v>4275</v>
      </c>
      <c r="O1267" t="s">
        <v>4283</v>
      </c>
      <c r="P1267" t="s">
        <v>5420</v>
      </c>
      <c r="Q1267" t="s">
        <v>5732</v>
      </c>
      <c r="R1267" t="s">
        <v>5753</v>
      </c>
      <c r="T1267" t="s">
        <v>4276</v>
      </c>
      <c r="V1267" t="s">
        <v>5767</v>
      </c>
      <c r="W1267" t="s">
        <v>5772</v>
      </c>
      <c r="X1267" t="s">
        <v>243</v>
      </c>
      <c r="Y1267">
        <v>1500</v>
      </c>
      <c r="Z1267" t="s">
        <v>5803</v>
      </c>
      <c r="AA1267" t="s">
        <v>5804</v>
      </c>
      <c r="AC1267" t="s">
        <v>6986</v>
      </c>
      <c r="AE1267" t="s">
        <v>8968</v>
      </c>
      <c r="AF1267">
        <v>2</v>
      </c>
      <c r="AG1267" t="s">
        <v>9269</v>
      </c>
      <c r="AH1267" t="s">
        <v>9282</v>
      </c>
      <c r="AI1267">
        <v>15</v>
      </c>
      <c r="AJ1267">
        <v>3</v>
      </c>
      <c r="AK1267">
        <v>0</v>
      </c>
      <c r="AL1267">
        <v>126.29</v>
      </c>
      <c r="AO1267" t="s">
        <v>1425</v>
      </c>
      <c r="AP1267">
        <v>26244</v>
      </c>
      <c r="AV1267">
        <v>2</v>
      </c>
      <c r="AW1267" t="s">
        <v>74</v>
      </c>
    </row>
    <row r="1268" spans="1:49">
      <c r="A1268" s="1">
        <f>HYPERLINK("https://cms.ls-nyc.org/matter/dynamic-profile/view/1886511","18-1886511")</f>
        <v>0</v>
      </c>
      <c r="B1268" t="s">
        <v>76</v>
      </c>
      <c r="C1268" t="s">
        <v>82</v>
      </c>
      <c r="D1268" t="s">
        <v>154</v>
      </c>
      <c r="E1268" t="s">
        <v>93</v>
      </c>
      <c r="F1268" t="s">
        <v>1200</v>
      </c>
      <c r="G1268" t="s">
        <v>2278</v>
      </c>
      <c r="H1268" t="s">
        <v>3576</v>
      </c>
      <c r="I1268" t="s">
        <v>3878</v>
      </c>
      <c r="J1268" t="s">
        <v>4222</v>
      </c>
      <c r="K1268">
        <v>11433</v>
      </c>
      <c r="L1268" t="s">
        <v>4275</v>
      </c>
      <c r="M1268" t="s">
        <v>4275</v>
      </c>
      <c r="O1268" t="s">
        <v>4281</v>
      </c>
      <c r="P1268" t="s">
        <v>5421</v>
      </c>
      <c r="Q1268" t="s">
        <v>5732</v>
      </c>
      <c r="R1268" t="s">
        <v>5751</v>
      </c>
      <c r="S1268" t="s">
        <v>5758</v>
      </c>
      <c r="T1268" t="s">
        <v>4276</v>
      </c>
      <c r="V1268" t="s">
        <v>5767</v>
      </c>
      <c r="W1268" t="s">
        <v>5772</v>
      </c>
      <c r="X1268" t="s">
        <v>154</v>
      </c>
      <c r="Y1268">
        <v>800</v>
      </c>
      <c r="Z1268" t="s">
        <v>5803</v>
      </c>
      <c r="AA1268" t="s">
        <v>5805</v>
      </c>
      <c r="AB1268" t="s">
        <v>5820</v>
      </c>
      <c r="AC1268" t="s">
        <v>6987</v>
      </c>
      <c r="AE1268" t="s">
        <v>8969</v>
      </c>
      <c r="AF1268">
        <v>2</v>
      </c>
      <c r="AG1268" t="s">
        <v>9269</v>
      </c>
      <c r="AH1268" t="s">
        <v>4280</v>
      </c>
      <c r="AI1268">
        <v>1</v>
      </c>
      <c r="AJ1268">
        <v>1</v>
      </c>
      <c r="AK1268">
        <v>0</v>
      </c>
      <c r="AL1268">
        <v>128.5</v>
      </c>
      <c r="AO1268" t="s">
        <v>1425</v>
      </c>
      <c r="AP1268">
        <v>15600</v>
      </c>
      <c r="AR1268" t="s">
        <v>9329</v>
      </c>
      <c r="AS1268" t="s">
        <v>9336</v>
      </c>
      <c r="AT1268" t="s">
        <v>9369</v>
      </c>
      <c r="AU1268" t="s">
        <v>9534</v>
      </c>
      <c r="AV1268">
        <v>12.5</v>
      </c>
      <c r="AW1268" t="s">
        <v>73</v>
      </c>
    </row>
    <row r="1269" spans="1:49">
      <c r="A1269" s="1">
        <f>HYPERLINK("https://cms.ls-nyc.org/matter/dynamic-profile/view/1890890","19-1890890")</f>
        <v>0</v>
      </c>
      <c r="B1269" t="s">
        <v>76</v>
      </c>
      <c r="C1269" t="s">
        <v>83</v>
      </c>
      <c r="D1269" t="s">
        <v>98</v>
      </c>
      <c r="F1269" t="s">
        <v>1201</v>
      </c>
      <c r="G1269" t="s">
        <v>2279</v>
      </c>
      <c r="H1269" t="s">
        <v>3577</v>
      </c>
      <c r="I1269" t="s">
        <v>3861</v>
      </c>
      <c r="J1269" t="s">
        <v>4227</v>
      </c>
      <c r="K1269">
        <v>11365</v>
      </c>
      <c r="L1269" t="s">
        <v>4275</v>
      </c>
      <c r="M1269" t="s">
        <v>4275</v>
      </c>
      <c r="O1269" t="s">
        <v>4282</v>
      </c>
      <c r="P1269" t="s">
        <v>5422</v>
      </c>
      <c r="Q1269" t="s">
        <v>5732</v>
      </c>
      <c r="R1269" t="s">
        <v>5752</v>
      </c>
      <c r="T1269" t="s">
        <v>4276</v>
      </c>
      <c r="V1269" t="s">
        <v>5767</v>
      </c>
      <c r="W1269" t="s">
        <v>5772</v>
      </c>
      <c r="X1269" t="s">
        <v>158</v>
      </c>
      <c r="Y1269">
        <v>1830</v>
      </c>
      <c r="Z1269" t="s">
        <v>5803</v>
      </c>
      <c r="AA1269" t="s">
        <v>5804</v>
      </c>
      <c r="AC1269" t="s">
        <v>6988</v>
      </c>
      <c r="AE1269" t="s">
        <v>8970</v>
      </c>
      <c r="AF1269">
        <v>251</v>
      </c>
      <c r="AG1269" t="s">
        <v>9270</v>
      </c>
      <c r="AH1269" t="s">
        <v>4280</v>
      </c>
      <c r="AI1269">
        <v>4</v>
      </c>
      <c r="AJ1269">
        <v>1</v>
      </c>
      <c r="AK1269">
        <v>1</v>
      </c>
      <c r="AL1269">
        <v>138.38</v>
      </c>
      <c r="AO1269" t="s">
        <v>1425</v>
      </c>
      <c r="AP1269">
        <v>23400</v>
      </c>
      <c r="AV1269">
        <v>0</v>
      </c>
      <c r="AW1269" t="s">
        <v>73</v>
      </c>
    </row>
    <row r="1270" spans="1:49">
      <c r="A1270" s="1">
        <f>HYPERLINK("https://cms.ls-nyc.org/matter/dynamic-profile/view/1872017","18-1872017")</f>
        <v>0</v>
      </c>
      <c r="B1270" t="s">
        <v>76</v>
      </c>
      <c r="C1270" t="s">
        <v>83</v>
      </c>
      <c r="D1270" t="s">
        <v>113</v>
      </c>
      <c r="F1270" t="s">
        <v>315</v>
      </c>
      <c r="G1270" t="s">
        <v>2280</v>
      </c>
      <c r="H1270" t="s">
        <v>3578</v>
      </c>
      <c r="J1270" t="s">
        <v>4243</v>
      </c>
      <c r="K1270">
        <v>11691</v>
      </c>
      <c r="L1270" t="s">
        <v>4275</v>
      </c>
      <c r="M1270" t="s">
        <v>4275</v>
      </c>
      <c r="O1270" t="s">
        <v>4283</v>
      </c>
      <c r="P1270" t="s">
        <v>5423</v>
      </c>
      <c r="Q1270" t="s">
        <v>5732</v>
      </c>
      <c r="R1270" t="s">
        <v>5753</v>
      </c>
      <c r="T1270" t="s">
        <v>4276</v>
      </c>
      <c r="V1270" t="s">
        <v>5767</v>
      </c>
      <c r="W1270" t="s">
        <v>5771</v>
      </c>
      <c r="X1270" t="s">
        <v>113</v>
      </c>
      <c r="Y1270">
        <v>2100</v>
      </c>
      <c r="Z1270" t="s">
        <v>5803</v>
      </c>
      <c r="AA1270" t="s">
        <v>5804</v>
      </c>
      <c r="AC1270" t="s">
        <v>6989</v>
      </c>
      <c r="AD1270" t="s">
        <v>4381</v>
      </c>
      <c r="AE1270" t="s">
        <v>8971</v>
      </c>
      <c r="AF1270">
        <v>20</v>
      </c>
      <c r="AG1270" t="s">
        <v>9269</v>
      </c>
      <c r="AH1270" t="s">
        <v>9282</v>
      </c>
      <c r="AI1270">
        <v>3</v>
      </c>
      <c r="AJ1270">
        <v>1</v>
      </c>
      <c r="AK1270">
        <v>3</v>
      </c>
      <c r="AL1270">
        <v>138.65</v>
      </c>
      <c r="AN1270" t="s">
        <v>9294</v>
      </c>
      <c r="AO1270" t="s">
        <v>1425</v>
      </c>
      <c r="AP1270">
        <v>34800</v>
      </c>
      <c r="AV1270">
        <v>1.2</v>
      </c>
      <c r="AW1270" t="s">
        <v>54</v>
      </c>
    </row>
    <row r="1271" spans="1:49">
      <c r="A1271" s="1">
        <f>HYPERLINK("https://cms.ls-nyc.org/matter/dynamic-profile/view/1879890","18-1879890")</f>
        <v>0</v>
      </c>
      <c r="B1271" t="s">
        <v>76</v>
      </c>
      <c r="C1271" t="s">
        <v>83</v>
      </c>
      <c r="D1271" t="s">
        <v>92</v>
      </c>
      <c r="F1271" t="s">
        <v>1202</v>
      </c>
      <c r="G1271" t="s">
        <v>2281</v>
      </c>
      <c r="H1271" t="s">
        <v>3579</v>
      </c>
      <c r="I1271">
        <v>2</v>
      </c>
      <c r="J1271" t="s">
        <v>4250</v>
      </c>
      <c r="K1271">
        <v>11412</v>
      </c>
      <c r="L1271" t="s">
        <v>4275</v>
      </c>
      <c r="M1271" t="s">
        <v>4275</v>
      </c>
      <c r="O1271" t="s">
        <v>4282</v>
      </c>
      <c r="P1271" t="s">
        <v>5424</v>
      </c>
      <c r="Q1271" t="s">
        <v>5732</v>
      </c>
      <c r="R1271" t="s">
        <v>5753</v>
      </c>
      <c r="T1271" t="s">
        <v>4276</v>
      </c>
      <c r="V1271" t="s">
        <v>5767</v>
      </c>
      <c r="W1271" t="s">
        <v>5772</v>
      </c>
      <c r="X1271" t="s">
        <v>92</v>
      </c>
      <c r="Y1271">
        <v>1200</v>
      </c>
      <c r="Z1271" t="s">
        <v>5803</v>
      </c>
      <c r="AA1271" t="s">
        <v>5804</v>
      </c>
      <c r="AC1271" t="s">
        <v>6990</v>
      </c>
      <c r="AE1271" t="s">
        <v>8972</v>
      </c>
      <c r="AF1271">
        <v>2</v>
      </c>
      <c r="AG1271" t="s">
        <v>9269</v>
      </c>
      <c r="AH1271" t="s">
        <v>4280</v>
      </c>
      <c r="AI1271">
        <v>2</v>
      </c>
      <c r="AJ1271">
        <v>1</v>
      </c>
      <c r="AK1271">
        <v>1</v>
      </c>
      <c r="AL1271">
        <v>139.73</v>
      </c>
      <c r="AO1271" t="s">
        <v>1425</v>
      </c>
      <c r="AP1271">
        <v>23000</v>
      </c>
      <c r="AV1271">
        <v>1.5</v>
      </c>
      <c r="AW1271" t="s">
        <v>74</v>
      </c>
    </row>
    <row r="1272" spans="1:49">
      <c r="A1272" s="1">
        <f>HYPERLINK("https://cms.ls-nyc.org/matter/dynamic-profile/view/1874491","18-1874491")</f>
        <v>0</v>
      </c>
      <c r="B1272" t="s">
        <v>76</v>
      </c>
      <c r="C1272" t="s">
        <v>82</v>
      </c>
      <c r="D1272" t="s">
        <v>212</v>
      </c>
      <c r="E1272" t="s">
        <v>150</v>
      </c>
      <c r="F1272" t="s">
        <v>631</v>
      </c>
      <c r="G1272" t="s">
        <v>1683</v>
      </c>
      <c r="H1272" t="s">
        <v>3552</v>
      </c>
      <c r="I1272" t="s">
        <v>4155</v>
      </c>
      <c r="J1272" t="s">
        <v>4222</v>
      </c>
      <c r="K1272">
        <v>11434</v>
      </c>
      <c r="L1272" t="s">
        <v>4275</v>
      </c>
      <c r="M1272" t="s">
        <v>4275</v>
      </c>
      <c r="O1272" t="s">
        <v>4281</v>
      </c>
      <c r="P1272" t="s">
        <v>5425</v>
      </c>
      <c r="Q1272" t="s">
        <v>5732</v>
      </c>
      <c r="R1272" t="s">
        <v>5751</v>
      </c>
      <c r="S1272" t="s">
        <v>5760</v>
      </c>
      <c r="T1272" t="s">
        <v>4276</v>
      </c>
      <c r="V1272" t="s">
        <v>5767</v>
      </c>
      <c r="W1272" t="s">
        <v>5771</v>
      </c>
      <c r="X1272" t="s">
        <v>212</v>
      </c>
      <c r="Y1272">
        <v>1800</v>
      </c>
      <c r="Z1272" t="s">
        <v>5803</v>
      </c>
      <c r="AA1272" t="s">
        <v>5804</v>
      </c>
      <c r="AB1272" t="s">
        <v>5820</v>
      </c>
      <c r="AC1272" t="s">
        <v>6961</v>
      </c>
      <c r="AE1272" t="s">
        <v>8944</v>
      </c>
      <c r="AF1272">
        <v>293</v>
      </c>
      <c r="AG1272" t="s">
        <v>9273</v>
      </c>
      <c r="AH1272" t="s">
        <v>4280</v>
      </c>
      <c r="AI1272">
        <v>3</v>
      </c>
      <c r="AJ1272">
        <v>3</v>
      </c>
      <c r="AK1272">
        <v>1</v>
      </c>
      <c r="AL1272">
        <v>140.88</v>
      </c>
      <c r="AO1272" t="s">
        <v>1425</v>
      </c>
      <c r="AP1272">
        <v>35360</v>
      </c>
      <c r="AR1272" t="s">
        <v>9326</v>
      </c>
      <c r="AS1272" t="s">
        <v>9337</v>
      </c>
      <c r="AT1272" t="s">
        <v>9369</v>
      </c>
      <c r="AU1272" t="s">
        <v>9535</v>
      </c>
      <c r="AV1272">
        <v>14.25</v>
      </c>
      <c r="AW1272" t="s">
        <v>73</v>
      </c>
    </row>
    <row r="1273" spans="1:49">
      <c r="A1273" s="1">
        <f>HYPERLINK("https://cms.ls-nyc.org/matter/dynamic-profile/view/1890848","19-1890848")</f>
        <v>0</v>
      </c>
      <c r="B1273" t="s">
        <v>76</v>
      </c>
      <c r="C1273" t="s">
        <v>83</v>
      </c>
      <c r="D1273" t="s">
        <v>98</v>
      </c>
      <c r="F1273" t="s">
        <v>718</v>
      </c>
      <c r="G1273" t="s">
        <v>1385</v>
      </c>
      <c r="H1273" t="s">
        <v>3403</v>
      </c>
      <c r="I1273" t="s">
        <v>3912</v>
      </c>
      <c r="J1273" t="s">
        <v>4241</v>
      </c>
      <c r="K1273">
        <v>11368</v>
      </c>
      <c r="L1273" t="s">
        <v>4275</v>
      </c>
      <c r="M1273" t="s">
        <v>4275</v>
      </c>
      <c r="O1273" t="s">
        <v>4282</v>
      </c>
      <c r="P1273" t="s">
        <v>5426</v>
      </c>
      <c r="Q1273" t="s">
        <v>5731</v>
      </c>
      <c r="R1273" t="s">
        <v>5753</v>
      </c>
      <c r="T1273" t="s">
        <v>4276</v>
      </c>
      <c r="V1273" t="s">
        <v>5767</v>
      </c>
      <c r="W1273" t="s">
        <v>5775</v>
      </c>
      <c r="X1273" t="s">
        <v>98</v>
      </c>
      <c r="Y1273">
        <v>1667</v>
      </c>
      <c r="Z1273" t="s">
        <v>5803</v>
      </c>
      <c r="AA1273" t="s">
        <v>5804</v>
      </c>
      <c r="AC1273" t="s">
        <v>6991</v>
      </c>
      <c r="AE1273" t="s">
        <v>8973</v>
      </c>
      <c r="AF1273">
        <v>232</v>
      </c>
      <c r="AG1273" t="s">
        <v>9272</v>
      </c>
      <c r="AH1273" t="s">
        <v>4280</v>
      </c>
      <c r="AI1273">
        <v>10</v>
      </c>
      <c r="AJ1273">
        <v>1</v>
      </c>
      <c r="AK1273">
        <v>0</v>
      </c>
      <c r="AL1273">
        <v>145.72</v>
      </c>
      <c r="AO1273" t="s">
        <v>1425</v>
      </c>
      <c r="AP1273">
        <v>18200</v>
      </c>
      <c r="AV1273">
        <v>0.5</v>
      </c>
      <c r="AW1273" t="s">
        <v>73</v>
      </c>
    </row>
    <row r="1274" spans="1:49">
      <c r="A1274" s="1">
        <f>HYPERLINK("https://cms.ls-nyc.org/matter/dynamic-profile/view/1894361","19-1894361")</f>
        <v>0</v>
      </c>
      <c r="B1274" t="s">
        <v>76</v>
      </c>
      <c r="C1274" t="s">
        <v>83</v>
      </c>
      <c r="D1274" t="s">
        <v>121</v>
      </c>
      <c r="F1274" t="s">
        <v>678</v>
      </c>
      <c r="G1274" t="s">
        <v>2282</v>
      </c>
      <c r="H1274" t="s">
        <v>3580</v>
      </c>
      <c r="I1274" t="s">
        <v>3861</v>
      </c>
      <c r="J1274" t="s">
        <v>4240</v>
      </c>
      <c r="K1274">
        <v>11373</v>
      </c>
      <c r="L1274" t="s">
        <v>4275</v>
      </c>
      <c r="M1274" t="s">
        <v>4275</v>
      </c>
      <c r="O1274" t="s">
        <v>4281</v>
      </c>
      <c r="P1274" t="s">
        <v>5427</v>
      </c>
      <c r="Q1274" t="s">
        <v>5731</v>
      </c>
      <c r="R1274" t="s">
        <v>5751</v>
      </c>
      <c r="T1274" t="s">
        <v>4276</v>
      </c>
      <c r="V1274" t="s">
        <v>5767</v>
      </c>
      <c r="X1274" t="s">
        <v>121</v>
      </c>
      <c r="Y1274">
        <v>1079</v>
      </c>
      <c r="Z1274" t="s">
        <v>5803</v>
      </c>
      <c r="AA1274" t="s">
        <v>5805</v>
      </c>
      <c r="AC1274" t="s">
        <v>6992</v>
      </c>
      <c r="AE1274" t="s">
        <v>8974</v>
      </c>
      <c r="AF1274">
        <v>0</v>
      </c>
      <c r="AG1274" t="s">
        <v>9270</v>
      </c>
      <c r="AH1274" t="s">
        <v>4280</v>
      </c>
      <c r="AI1274">
        <v>33</v>
      </c>
      <c r="AJ1274">
        <v>2</v>
      </c>
      <c r="AK1274">
        <v>0</v>
      </c>
      <c r="AL1274">
        <v>148.1</v>
      </c>
      <c r="AO1274" t="s">
        <v>9298</v>
      </c>
      <c r="AP1274">
        <v>25044</v>
      </c>
      <c r="AV1274">
        <v>28.6</v>
      </c>
      <c r="AW1274" t="s">
        <v>54</v>
      </c>
    </row>
    <row r="1275" spans="1:49">
      <c r="A1275" s="1">
        <f>HYPERLINK("https://cms.ls-nyc.org/matter/dynamic-profile/view/1887664","19-1887664")</f>
        <v>0</v>
      </c>
      <c r="B1275" t="s">
        <v>76</v>
      </c>
      <c r="C1275" t="s">
        <v>82</v>
      </c>
      <c r="D1275" t="s">
        <v>136</v>
      </c>
      <c r="E1275" t="s">
        <v>93</v>
      </c>
      <c r="F1275" t="s">
        <v>450</v>
      </c>
      <c r="G1275" t="s">
        <v>2283</v>
      </c>
      <c r="H1275" t="s">
        <v>3375</v>
      </c>
      <c r="I1275" t="s">
        <v>3923</v>
      </c>
      <c r="J1275" t="s">
        <v>4222</v>
      </c>
      <c r="K1275">
        <v>11433</v>
      </c>
      <c r="L1275" t="s">
        <v>4275</v>
      </c>
      <c r="M1275" t="s">
        <v>4275</v>
      </c>
      <c r="N1275" t="s">
        <v>4278</v>
      </c>
      <c r="O1275" t="s">
        <v>4281</v>
      </c>
      <c r="P1275" t="s">
        <v>5428</v>
      </c>
      <c r="Q1275" t="s">
        <v>5731</v>
      </c>
      <c r="R1275" t="s">
        <v>5751</v>
      </c>
      <c r="S1275" t="s">
        <v>5762</v>
      </c>
      <c r="V1275" t="s">
        <v>5768</v>
      </c>
      <c r="W1275" t="s">
        <v>5772</v>
      </c>
      <c r="X1275" t="s">
        <v>136</v>
      </c>
      <c r="Y1275">
        <v>245</v>
      </c>
      <c r="Z1275" t="s">
        <v>5803</v>
      </c>
      <c r="AA1275" t="s">
        <v>5805</v>
      </c>
      <c r="AB1275" t="s">
        <v>5823</v>
      </c>
      <c r="AC1275" t="s">
        <v>6993</v>
      </c>
      <c r="AE1275" t="s">
        <v>8975</v>
      </c>
      <c r="AF1275">
        <v>100</v>
      </c>
      <c r="AG1275" t="s">
        <v>9271</v>
      </c>
      <c r="AI1275">
        <v>1</v>
      </c>
      <c r="AJ1275">
        <v>1</v>
      </c>
      <c r="AK1275">
        <v>1</v>
      </c>
      <c r="AL1275">
        <v>151.88</v>
      </c>
      <c r="AO1275" t="s">
        <v>1425</v>
      </c>
      <c r="AP1275">
        <v>25000</v>
      </c>
      <c r="AR1275" t="s">
        <v>9327</v>
      </c>
      <c r="AS1275" t="s">
        <v>9355</v>
      </c>
      <c r="AT1275" t="s">
        <v>9369</v>
      </c>
      <c r="AU1275" t="s">
        <v>9497</v>
      </c>
      <c r="AV1275">
        <v>8.800000000000001</v>
      </c>
      <c r="AW1275" t="s">
        <v>54</v>
      </c>
    </row>
    <row r="1276" spans="1:49">
      <c r="A1276" s="1">
        <f>HYPERLINK("https://cms.ls-nyc.org/matter/dynamic-profile/view/1888536","19-1888536")</f>
        <v>0</v>
      </c>
      <c r="B1276" t="s">
        <v>76</v>
      </c>
      <c r="C1276" t="s">
        <v>83</v>
      </c>
      <c r="D1276" t="s">
        <v>125</v>
      </c>
      <c r="F1276" t="s">
        <v>1203</v>
      </c>
      <c r="G1276" t="s">
        <v>1767</v>
      </c>
      <c r="H1276" t="s">
        <v>3581</v>
      </c>
      <c r="I1276" t="s">
        <v>4159</v>
      </c>
      <c r="J1276" t="s">
        <v>4234</v>
      </c>
      <c r="K1276">
        <v>11103</v>
      </c>
      <c r="L1276" t="s">
        <v>4275</v>
      </c>
      <c r="M1276" t="s">
        <v>4275</v>
      </c>
      <c r="O1276" t="s">
        <v>4282</v>
      </c>
      <c r="P1276" t="s">
        <v>5429</v>
      </c>
      <c r="Q1276" t="s">
        <v>5731</v>
      </c>
      <c r="R1276" t="s">
        <v>5752</v>
      </c>
      <c r="T1276" t="s">
        <v>4276</v>
      </c>
      <c r="V1276" t="s">
        <v>5767</v>
      </c>
      <c r="W1276" t="s">
        <v>5772</v>
      </c>
      <c r="X1276" t="s">
        <v>125</v>
      </c>
      <c r="Y1276">
        <v>1350</v>
      </c>
      <c r="Z1276" t="s">
        <v>5803</v>
      </c>
      <c r="AA1276" t="s">
        <v>5804</v>
      </c>
      <c r="AC1276" t="s">
        <v>6994</v>
      </c>
      <c r="AD1276" t="s">
        <v>7751</v>
      </c>
      <c r="AE1276" t="s">
        <v>8976</v>
      </c>
      <c r="AF1276">
        <v>144</v>
      </c>
      <c r="AG1276" t="s">
        <v>9272</v>
      </c>
      <c r="AH1276" t="s">
        <v>4280</v>
      </c>
      <c r="AI1276">
        <v>1</v>
      </c>
      <c r="AJ1276">
        <v>1</v>
      </c>
      <c r="AK1276">
        <v>2</v>
      </c>
      <c r="AL1276">
        <v>152.84</v>
      </c>
      <c r="AO1276" t="s">
        <v>1425</v>
      </c>
      <c r="AP1276">
        <v>32600</v>
      </c>
      <c r="AV1276">
        <v>0.6</v>
      </c>
      <c r="AW1276" t="s">
        <v>73</v>
      </c>
    </row>
    <row r="1277" spans="1:49">
      <c r="A1277" s="1">
        <f>HYPERLINK("https://cms.ls-nyc.org/matter/dynamic-profile/view/1892372","19-1892372")</f>
        <v>0</v>
      </c>
      <c r="B1277" t="s">
        <v>76</v>
      </c>
      <c r="C1277" t="s">
        <v>83</v>
      </c>
      <c r="D1277" t="s">
        <v>241</v>
      </c>
      <c r="F1277" t="s">
        <v>1042</v>
      </c>
      <c r="G1277" t="s">
        <v>2284</v>
      </c>
      <c r="H1277" t="s">
        <v>2823</v>
      </c>
      <c r="I1277" t="s">
        <v>4160</v>
      </c>
      <c r="J1277" t="s">
        <v>4240</v>
      </c>
      <c r="K1277">
        <v>11373</v>
      </c>
      <c r="L1277" t="s">
        <v>4275</v>
      </c>
      <c r="M1277" t="s">
        <v>4275</v>
      </c>
      <c r="O1277" t="s">
        <v>4281</v>
      </c>
      <c r="P1277" t="s">
        <v>5430</v>
      </c>
      <c r="Q1277" t="s">
        <v>5731</v>
      </c>
      <c r="R1277" t="s">
        <v>5751</v>
      </c>
      <c r="T1277" t="s">
        <v>4276</v>
      </c>
      <c r="V1277" t="s">
        <v>5767</v>
      </c>
      <c r="W1277" t="s">
        <v>5772</v>
      </c>
      <c r="Y1277">
        <v>2010</v>
      </c>
      <c r="Z1277" t="s">
        <v>5803</v>
      </c>
      <c r="AA1277" t="s">
        <v>5805</v>
      </c>
      <c r="AC1277" t="s">
        <v>6995</v>
      </c>
      <c r="AE1277" t="s">
        <v>8977</v>
      </c>
      <c r="AF1277">
        <v>200</v>
      </c>
      <c r="AG1277" t="s">
        <v>9272</v>
      </c>
      <c r="AH1277" t="s">
        <v>4280</v>
      </c>
      <c r="AI1277">
        <v>9</v>
      </c>
      <c r="AJ1277">
        <v>2</v>
      </c>
      <c r="AK1277">
        <v>1</v>
      </c>
      <c r="AL1277">
        <v>154.71</v>
      </c>
      <c r="AO1277" t="s">
        <v>1425</v>
      </c>
      <c r="AP1277">
        <v>33000</v>
      </c>
      <c r="AV1277">
        <v>3</v>
      </c>
      <c r="AW1277" t="s">
        <v>76</v>
      </c>
    </row>
    <row r="1278" spans="1:49">
      <c r="A1278" s="1">
        <f>HYPERLINK("https://cms.ls-nyc.org/matter/dynamic-profile/view/1899441","19-1899441")</f>
        <v>0</v>
      </c>
      <c r="B1278" t="s">
        <v>76</v>
      </c>
      <c r="C1278" t="s">
        <v>83</v>
      </c>
      <c r="D1278" t="s">
        <v>124</v>
      </c>
      <c r="F1278" t="s">
        <v>1204</v>
      </c>
      <c r="G1278" t="s">
        <v>2285</v>
      </c>
      <c r="H1278" t="s">
        <v>3582</v>
      </c>
      <c r="J1278" t="s">
        <v>4226</v>
      </c>
      <c r="K1278">
        <v>11385</v>
      </c>
      <c r="L1278" t="s">
        <v>4275</v>
      </c>
      <c r="M1278" t="s">
        <v>4277</v>
      </c>
      <c r="N1278" t="s">
        <v>4278</v>
      </c>
      <c r="O1278" t="s">
        <v>4281</v>
      </c>
      <c r="P1278" t="s">
        <v>5431</v>
      </c>
      <c r="Q1278" t="s">
        <v>5732</v>
      </c>
      <c r="R1278" t="s">
        <v>5751</v>
      </c>
      <c r="T1278" t="s">
        <v>4276</v>
      </c>
      <c r="V1278" t="s">
        <v>5767</v>
      </c>
      <c r="W1278" t="s">
        <v>5772</v>
      </c>
      <c r="X1278" t="s">
        <v>124</v>
      </c>
      <c r="Y1278">
        <v>1030</v>
      </c>
      <c r="Z1278" t="s">
        <v>5803</v>
      </c>
      <c r="AA1278" t="s">
        <v>5805</v>
      </c>
      <c r="AC1278" t="s">
        <v>6996</v>
      </c>
      <c r="AE1278" t="s">
        <v>8978</v>
      </c>
      <c r="AF1278">
        <v>0</v>
      </c>
      <c r="AG1278" t="s">
        <v>9270</v>
      </c>
      <c r="AH1278" t="s">
        <v>4280</v>
      </c>
      <c r="AI1278">
        <v>14</v>
      </c>
      <c r="AJ1278">
        <v>1</v>
      </c>
      <c r="AK1278">
        <v>0</v>
      </c>
      <c r="AL1278">
        <v>156.12</v>
      </c>
      <c r="AO1278" t="s">
        <v>1425</v>
      </c>
      <c r="AP1278">
        <v>19500</v>
      </c>
      <c r="AV1278">
        <v>20.1</v>
      </c>
      <c r="AW1278" t="s">
        <v>54</v>
      </c>
    </row>
    <row r="1279" spans="1:49">
      <c r="A1279" s="1">
        <f>HYPERLINK("https://cms.ls-nyc.org/matter/dynamic-profile/view/1893997","19-1893997")</f>
        <v>0</v>
      </c>
      <c r="B1279" t="s">
        <v>76</v>
      </c>
      <c r="C1279" t="s">
        <v>83</v>
      </c>
      <c r="D1279" t="s">
        <v>96</v>
      </c>
      <c r="F1279" t="s">
        <v>807</v>
      </c>
      <c r="G1279" t="s">
        <v>2286</v>
      </c>
      <c r="H1279" t="s">
        <v>3583</v>
      </c>
      <c r="J1279" t="s">
        <v>4222</v>
      </c>
      <c r="K1279">
        <v>11433</v>
      </c>
      <c r="L1279" t="s">
        <v>4275</v>
      </c>
      <c r="M1279" t="s">
        <v>4275</v>
      </c>
      <c r="O1279" t="s">
        <v>4281</v>
      </c>
      <c r="P1279" t="s">
        <v>5432</v>
      </c>
      <c r="Q1279" t="s">
        <v>5731</v>
      </c>
      <c r="R1279" t="s">
        <v>5752</v>
      </c>
      <c r="V1279" t="s">
        <v>5767</v>
      </c>
      <c r="X1279" t="s">
        <v>96</v>
      </c>
      <c r="Y1279">
        <v>800</v>
      </c>
      <c r="Z1279" t="s">
        <v>5803</v>
      </c>
      <c r="AA1279" t="s">
        <v>5804</v>
      </c>
      <c r="AC1279" t="s">
        <v>6997</v>
      </c>
      <c r="AE1279" t="s">
        <v>8979</v>
      </c>
      <c r="AF1279">
        <v>0</v>
      </c>
      <c r="AI1279">
        <v>0</v>
      </c>
      <c r="AJ1279">
        <v>1</v>
      </c>
      <c r="AK1279">
        <v>0</v>
      </c>
      <c r="AL1279">
        <v>160.13</v>
      </c>
      <c r="AO1279" t="s">
        <v>1425</v>
      </c>
      <c r="AP1279">
        <v>20000</v>
      </c>
      <c r="AV1279">
        <v>12.5</v>
      </c>
      <c r="AW1279" t="s">
        <v>9547</v>
      </c>
    </row>
    <row r="1280" spans="1:49">
      <c r="A1280" s="1">
        <f>HYPERLINK("https://cms.ls-nyc.org/matter/dynamic-profile/view/1881172","18-1881172")</f>
        <v>0</v>
      </c>
      <c r="B1280" t="s">
        <v>76</v>
      </c>
      <c r="C1280" t="s">
        <v>82</v>
      </c>
      <c r="D1280" t="s">
        <v>140</v>
      </c>
      <c r="E1280" t="s">
        <v>298</v>
      </c>
      <c r="F1280" t="s">
        <v>1205</v>
      </c>
      <c r="G1280" t="s">
        <v>2287</v>
      </c>
      <c r="H1280" t="s">
        <v>3584</v>
      </c>
      <c r="I1280" t="s">
        <v>3937</v>
      </c>
      <c r="J1280" t="s">
        <v>4240</v>
      </c>
      <c r="K1280">
        <v>11373</v>
      </c>
      <c r="L1280" t="s">
        <v>4275</v>
      </c>
      <c r="M1280" t="s">
        <v>4275</v>
      </c>
      <c r="O1280" t="s">
        <v>4281</v>
      </c>
      <c r="P1280" t="s">
        <v>5433</v>
      </c>
      <c r="Q1280" t="s">
        <v>5732</v>
      </c>
      <c r="R1280" t="s">
        <v>5751</v>
      </c>
      <c r="S1280" t="s">
        <v>5762</v>
      </c>
      <c r="T1280" t="s">
        <v>4276</v>
      </c>
      <c r="V1280" t="s">
        <v>5767</v>
      </c>
      <c r="X1280" t="s">
        <v>140</v>
      </c>
      <c r="Y1280">
        <v>1345</v>
      </c>
      <c r="Z1280" t="s">
        <v>5803</v>
      </c>
      <c r="AA1280" t="s">
        <v>5804</v>
      </c>
      <c r="AB1280" t="s">
        <v>5820</v>
      </c>
      <c r="AC1280" t="s">
        <v>6998</v>
      </c>
      <c r="AE1280" t="s">
        <v>8980</v>
      </c>
      <c r="AF1280">
        <v>72</v>
      </c>
      <c r="AG1280" t="s">
        <v>9270</v>
      </c>
      <c r="AH1280" t="s">
        <v>4280</v>
      </c>
      <c r="AI1280">
        <v>12</v>
      </c>
      <c r="AJ1280">
        <v>2</v>
      </c>
      <c r="AK1280">
        <v>2</v>
      </c>
      <c r="AL1280">
        <v>163.35</v>
      </c>
      <c r="AO1280" t="s">
        <v>1425</v>
      </c>
      <c r="AP1280">
        <v>41000</v>
      </c>
      <c r="AR1280" t="s">
        <v>9327</v>
      </c>
      <c r="AS1280" t="s">
        <v>9368</v>
      </c>
      <c r="AT1280" t="s">
        <v>9369</v>
      </c>
      <c r="AU1280" t="s">
        <v>9444</v>
      </c>
      <c r="AV1280">
        <v>6.4</v>
      </c>
      <c r="AW1280" t="s">
        <v>54</v>
      </c>
    </row>
    <row r="1281" spans="1:49">
      <c r="A1281" s="1">
        <f>HYPERLINK("https://cms.ls-nyc.org/matter/dynamic-profile/view/1896680","19-1896680")</f>
        <v>0</v>
      </c>
      <c r="B1281" t="s">
        <v>76</v>
      </c>
      <c r="C1281" t="s">
        <v>83</v>
      </c>
      <c r="D1281" t="s">
        <v>117</v>
      </c>
      <c r="F1281" t="s">
        <v>1206</v>
      </c>
      <c r="G1281" t="s">
        <v>1988</v>
      </c>
      <c r="H1281" t="s">
        <v>3585</v>
      </c>
      <c r="I1281">
        <v>1</v>
      </c>
      <c r="J1281" t="s">
        <v>4240</v>
      </c>
      <c r="K1281">
        <v>11373</v>
      </c>
      <c r="L1281" t="s">
        <v>4275</v>
      </c>
      <c r="M1281" t="s">
        <v>4275</v>
      </c>
      <c r="O1281" t="s">
        <v>4281</v>
      </c>
      <c r="P1281" t="s">
        <v>5434</v>
      </c>
      <c r="Q1281" t="s">
        <v>5732</v>
      </c>
      <c r="R1281" t="s">
        <v>5751</v>
      </c>
      <c r="T1281" t="s">
        <v>4276</v>
      </c>
      <c r="V1281" t="s">
        <v>5767</v>
      </c>
      <c r="X1281" t="s">
        <v>117</v>
      </c>
      <c r="Y1281">
        <v>400</v>
      </c>
      <c r="Z1281" t="s">
        <v>5803</v>
      </c>
      <c r="AA1281" t="s">
        <v>5805</v>
      </c>
      <c r="AC1281" t="s">
        <v>6999</v>
      </c>
      <c r="AE1281" t="s">
        <v>8981</v>
      </c>
      <c r="AF1281">
        <v>4</v>
      </c>
      <c r="AG1281" t="s">
        <v>9270</v>
      </c>
      <c r="AH1281" t="s">
        <v>4280</v>
      </c>
      <c r="AI1281">
        <v>10</v>
      </c>
      <c r="AJ1281">
        <v>1</v>
      </c>
      <c r="AK1281">
        <v>0</v>
      </c>
      <c r="AL1281">
        <v>166.53</v>
      </c>
      <c r="AO1281" t="s">
        <v>9298</v>
      </c>
      <c r="AP1281">
        <v>20800</v>
      </c>
      <c r="AV1281">
        <v>17.5</v>
      </c>
      <c r="AW1281" t="s">
        <v>54</v>
      </c>
    </row>
    <row r="1282" spans="1:49">
      <c r="A1282" s="1">
        <f>HYPERLINK("https://cms.ls-nyc.org/matter/dynamic-profile/view/1880756","18-1880756")</f>
        <v>0</v>
      </c>
      <c r="B1282" t="s">
        <v>76</v>
      </c>
      <c r="C1282" t="s">
        <v>83</v>
      </c>
      <c r="D1282" t="s">
        <v>84</v>
      </c>
      <c r="F1282" t="s">
        <v>528</v>
      </c>
      <c r="G1282" t="s">
        <v>2288</v>
      </c>
      <c r="H1282" t="s">
        <v>3586</v>
      </c>
      <c r="I1282" t="s">
        <v>3866</v>
      </c>
      <c r="J1282" t="s">
        <v>4236</v>
      </c>
      <c r="K1282">
        <v>11417</v>
      </c>
      <c r="L1282" t="s">
        <v>4275</v>
      </c>
      <c r="M1282" t="s">
        <v>4275</v>
      </c>
      <c r="O1282" t="s">
        <v>4282</v>
      </c>
      <c r="P1282" t="s">
        <v>5435</v>
      </c>
      <c r="Q1282" t="s">
        <v>5732</v>
      </c>
      <c r="R1282" t="s">
        <v>5753</v>
      </c>
      <c r="T1282" t="s">
        <v>4276</v>
      </c>
      <c r="V1282" t="s">
        <v>5767</v>
      </c>
      <c r="W1282" t="s">
        <v>5772</v>
      </c>
      <c r="X1282" t="s">
        <v>84</v>
      </c>
      <c r="Y1282">
        <v>2644</v>
      </c>
      <c r="Z1282" t="s">
        <v>5803</v>
      </c>
      <c r="AA1282" t="s">
        <v>5804</v>
      </c>
      <c r="AC1282" t="s">
        <v>7000</v>
      </c>
      <c r="AE1282" t="s">
        <v>8982</v>
      </c>
      <c r="AF1282">
        <v>2</v>
      </c>
      <c r="AG1282" t="s">
        <v>9269</v>
      </c>
      <c r="AH1282" t="s">
        <v>4280</v>
      </c>
      <c r="AI1282">
        <v>17</v>
      </c>
      <c r="AJ1282">
        <v>3</v>
      </c>
      <c r="AK1282">
        <v>1</v>
      </c>
      <c r="AL1282">
        <v>166.81</v>
      </c>
      <c r="AO1282" t="s">
        <v>9298</v>
      </c>
      <c r="AP1282">
        <v>41870</v>
      </c>
      <c r="AV1282">
        <v>1.45</v>
      </c>
      <c r="AW1282" t="s">
        <v>54</v>
      </c>
    </row>
    <row r="1283" spans="1:49">
      <c r="A1283" s="1">
        <f>HYPERLINK("https://cms.ls-nyc.org/matter/dynamic-profile/view/1894027","19-1894027")</f>
        <v>0</v>
      </c>
      <c r="B1283" t="s">
        <v>76</v>
      </c>
      <c r="C1283" t="s">
        <v>83</v>
      </c>
      <c r="D1283" t="s">
        <v>96</v>
      </c>
      <c r="F1283" t="s">
        <v>1207</v>
      </c>
      <c r="G1283" t="s">
        <v>2289</v>
      </c>
      <c r="H1283" t="s">
        <v>3587</v>
      </c>
      <c r="I1283" t="s">
        <v>4161</v>
      </c>
      <c r="J1283" t="s">
        <v>4222</v>
      </c>
      <c r="K1283">
        <v>11434</v>
      </c>
      <c r="L1283" t="s">
        <v>4275</v>
      </c>
      <c r="M1283" t="s">
        <v>4275</v>
      </c>
      <c r="O1283" t="s">
        <v>4281</v>
      </c>
      <c r="P1283" t="s">
        <v>5436</v>
      </c>
      <c r="Q1283" t="s">
        <v>5732</v>
      </c>
      <c r="R1283" t="s">
        <v>5751</v>
      </c>
      <c r="T1283" t="s">
        <v>4276</v>
      </c>
      <c r="V1283" t="s">
        <v>5767</v>
      </c>
      <c r="W1283" t="s">
        <v>5772</v>
      </c>
      <c r="X1283" t="s">
        <v>236</v>
      </c>
      <c r="Y1283">
        <v>2400</v>
      </c>
      <c r="Z1283" t="s">
        <v>5803</v>
      </c>
      <c r="AA1283" t="s">
        <v>5805</v>
      </c>
      <c r="AC1283" t="s">
        <v>7001</v>
      </c>
      <c r="AE1283" t="s">
        <v>8983</v>
      </c>
      <c r="AF1283">
        <v>2</v>
      </c>
      <c r="AG1283" t="s">
        <v>9269</v>
      </c>
      <c r="AH1283" t="s">
        <v>4280</v>
      </c>
      <c r="AI1283">
        <v>2</v>
      </c>
      <c r="AJ1283">
        <v>3</v>
      </c>
      <c r="AK1283">
        <v>1</v>
      </c>
      <c r="AL1283">
        <v>166.99</v>
      </c>
      <c r="AO1283" t="s">
        <v>1425</v>
      </c>
      <c r="AP1283">
        <v>43000</v>
      </c>
      <c r="AV1283">
        <v>5.3</v>
      </c>
      <c r="AW1283" t="s">
        <v>76</v>
      </c>
    </row>
    <row r="1284" spans="1:49">
      <c r="A1284" s="1">
        <f>HYPERLINK("https://cms.ls-nyc.org/matter/dynamic-profile/view/1879454","18-1879454")</f>
        <v>0</v>
      </c>
      <c r="B1284" t="s">
        <v>76</v>
      </c>
      <c r="C1284" t="s">
        <v>83</v>
      </c>
      <c r="D1284" t="s">
        <v>128</v>
      </c>
      <c r="F1284" t="s">
        <v>1071</v>
      </c>
      <c r="G1284" t="s">
        <v>1021</v>
      </c>
      <c r="H1284" t="s">
        <v>2961</v>
      </c>
      <c r="I1284" t="s">
        <v>3932</v>
      </c>
      <c r="J1284" t="s">
        <v>4240</v>
      </c>
      <c r="K1284">
        <v>11373</v>
      </c>
      <c r="L1284" t="s">
        <v>4275</v>
      </c>
      <c r="M1284" t="s">
        <v>4275</v>
      </c>
      <c r="O1284" t="s">
        <v>4281</v>
      </c>
      <c r="P1284" t="s">
        <v>5437</v>
      </c>
      <c r="Q1284" t="s">
        <v>5732</v>
      </c>
      <c r="R1284" t="s">
        <v>5751</v>
      </c>
      <c r="T1284" t="s">
        <v>4275</v>
      </c>
      <c r="V1284" t="s">
        <v>5767</v>
      </c>
      <c r="W1284" t="s">
        <v>5772</v>
      </c>
      <c r="Y1284">
        <v>953.17</v>
      </c>
      <c r="Z1284" t="s">
        <v>5803</v>
      </c>
      <c r="AA1284" t="s">
        <v>5805</v>
      </c>
      <c r="AC1284" t="s">
        <v>7002</v>
      </c>
      <c r="AE1284" t="s">
        <v>8984</v>
      </c>
      <c r="AF1284">
        <v>72</v>
      </c>
      <c r="AI1284">
        <v>36</v>
      </c>
      <c r="AJ1284">
        <v>1</v>
      </c>
      <c r="AK1284">
        <v>1</v>
      </c>
      <c r="AL1284">
        <v>169.02</v>
      </c>
      <c r="AO1284" t="s">
        <v>1425</v>
      </c>
      <c r="AP1284">
        <v>27820</v>
      </c>
      <c r="AV1284">
        <v>76</v>
      </c>
      <c r="AW1284" t="s">
        <v>60</v>
      </c>
    </row>
    <row r="1285" spans="1:49">
      <c r="A1285" s="1">
        <f>HYPERLINK("https://cms.ls-nyc.org/matter/dynamic-profile/view/1895907","19-1895907")</f>
        <v>0</v>
      </c>
      <c r="B1285" t="s">
        <v>76</v>
      </c>
      <c r="C1285" t="s">
        <v>83</v>
      </c>
      <c r="D1285" t="s">
        <v>105</v>
      </c>
      <c r="F1285" t="s">
        <v>1208</v>
      </c>
      <c r="G1285" t="s">
        <v>2192</v>
      </c>
      <c r="H1285" t="s">
        <v>2563</v>
      </c>
      <c r="I1285" t="s">
        <v>4162</v>
      </c>
      <c r="J1285" t="s">
        <v>4222</v>
      </c>
      <c r="K1285">
        <v>11433</v>
      </c>
      <c r="L1285" t="s">
        <v>4277</v>
      </c>
      <c r="M1285" t="s">
        <v>4277</v>
      </c>
      <c r="O1285" t="s">
        <v>4281</v>
      </c>
      <c r="P1285" t="s">
        <v>5438</v>
      </c>
      <c r="Q1285" t="s">
        <v>5731</v>
      </c>
      <c r="R1285" t="s">
        <v>5751</v>
      </c>
      <c r="T1285" t="s">
        <v>4276</v>
      </c>
      <c r="V1285" t="s">
        <v>5768</v>
      </c>
      <c r="W1285" t="s">
        <v>5772</v>
      </c>
      <c r="Y1285">
        <v>533</v>
      </c>
      <c r="Z1285" t="s">
        <v>5803</v>
      </c>
      <c r="AA1285" t="s">
        <v>5805</v>
      </c>
      <c r="AC1285" t="s">
        <v>7003</v>
      </c>
      <c r="AE1285" t="s">
        <v>8985</v>
      </c>
      <c r="AF1285">
        <v>100</v>
      </c>
      <c r="AG1285" t="s">
        <v>9271</v>
      </c>
      <c r="AI1285">
        <v>3</v>
      </c>
      <c r="AJ1285">
        <v>1</v>
      </c>
      <c r="AK1285">
        <v>0</v>
      </c>
      <c r="AL1285">
        <v>169.77</v>
      </c>
      <c r="AO1285" t="s">
        <v>1425</v>
      </c>
      <c r="AP1285">
        <v>21204</v>
      </c>
      <c r="AV1285">
        <v>8.300000000000001</v>
      </c>
      <c r="AW1285" t="s">
        <v>9558</v>
      </c>
    </row>
    <row r="1286" spans="1:49">
      <c r="A1286" s="1">
        <f>HYPERLINK("https://cms.ls-nyc.org/matter/dynamic-profile/view/1890234","19-1890234")</f>
        <v>0</v>
      </c>
      <c r="B1286" t="s">
        <v>76</v>
      </c>
      <c r="C1286" t="s">
        <v>83</v>
      </c>
      <c r="D1286" t="s">
        <v>127</v>
      </c>
      <c r="F1286" t="s">
        <v>327</v>
      </c>
      <c r="G1286" t="s">
        <v>2003</v>
      </c>
      <c r="H1286" t="s">
        <v>3588</v>
      </c>
      <c r="I1286" t="s">
        <v>3870</v>
      </c>
      <c r="J1286" t="s">
        <v>4222</v>
      </c>
      <c r="K1286">
        <v>11434</v>
      </c>
      <c r="L1286" t="s">
        <v>4275</v>
      </c>
      <c r="M1286" t="s">
        <v>4275</v>
      </c>
      <c r="O1286" t="s">
        <v>4281</v>
      </c>
      <c r="P1286" t="s">
        <v>5439</v>
      </c>
      <c r="Q1286" t="s">
        <v>5732</v>
      </c>
      <c r="R1286" t="s">
        <v>5751</v>
      </c>
      <c r="T1286" t="s">
        <v>4276</v>
      </c>
      <c r="V1286" t="s">
        <v>5767</v>
      </c>
      <c r="W1286" t="s">
        <v>5772</v>
      </c>
      <c r="X1286" t="s">
        <v>127</v>
      </c>
      <c r="Y1286">
        <v>900</v>
      </c>
      <c r="Z1286" t="s">
        <v>5803</v>
      </c>
      <c r="AA1286" t="s">
        <v>5805</v>
      </c>
      <c r="AC1286" t="s">
        <v>7004</v>
      </c>
      <c r="AE1286" t="s">
        <v>8986</v>
      </c>
      <c r="AF1286">
        <v>0</v>
      </c>
      <c r="AG1286" t="s">
        <v>9270</v>
      </c>
      <c r="AH1286" t="s">
        <v>4280</v>
      </c>
      <c r="AI1286">
        <v>27</v>
      </c>
      <c r="AJ1286">
        <v>2</v>
      </c>
      <c r="AK1286">
        <v>2</v>
      </c>
      <c r="AL1286">
        <v>172.43</v>
      </c>
      <c r="AO1286" t="s">
        <v>1425</v>
      </c>
      <c r="AP1286">
        <v>44400</v>
      </c>
      <c r="AV1286">
        <v>37.8</v>
      </c>
      <c r="AW1286" t="s">
        <v>54</v>
      </c>
    </row>
    <row r="1287" spans="1:49">
      <c r="A1287" s="1">
        <f>HYPERLINK("https://cms.ls-nyc.org/matter/dynamic-profile/view/1873429","18-1873429")</f>
        <v>0</v>
      </c>
      <c r="B1287" t="s">
        <v>76</v>
      </c>
      <c r="C1287" t="s">
        <v>83</v>
      </c>
      <c r="D1287" t="s">
        <v>153</v>
      </c>
      <c r="F1287" t="s">
        <v>1207</v>
      </c>
      <c r="G1287" t="s">
        <v>2290</v>
      </c>
      <c r="H1287" t="s">
        <v>2621</v>
      </c>
      <c r="I1287" t="s">
        <v>3933</v>
      </c>
      <c r="J1287" t="s">
        <v>4247</v>
      </c>
      <c r="K1287">
        <v>11415</v>
      </c>
      <c r="L1287" t="s">
        <v>4275</v>
      </c>
      <c r="M1287" t="s">
        <v>4275</v>
      </c>
      <c r="O1287" t="s">
        <v>4282</v>
      </c>
      <c r="P1287" t="s">
        <v>5440</v>
      </c>
      <c r="Q1287" t="s">
        <v>5731</v>
      </c>
      <c r="R1287" t="s">
        <v>5753</v>
      </c>
      <c r="T1287" t="s">
        <v>4276</v>
      </c>
      <c r="V1287" t="s">
        <v>5767</v>
      </c>
      <c r="W1287" t="s">
        <v>5771</v>
      </c>
      <c r="X1287" t="s">
        <v>153</v>
      </c>
      <c r="Y1287">
        <v>1350</v>
      </c>
      <c r="Z1287" t="s">
        <v>5803</v>
      </c>
      <c r="AA1287" t="s">
        <v>5804</v>
      </c>
      <c r="AC1287" t="s">
        <v>7005</v>
      </c>
      <c r="AD1287" t="s">
        <v>7752</v>
      </c>
      <c r="AE1287" t="s">
        <v>8987</v>
      </c>
      <c r="AF1287">
        <v>53</v>
      </c>
      <c r="AG1287" t="s">
        <v>9272</v>
      </c>
      <c r="AH1287" t="s">
        <v>4280</v>
      </c>
      <c r="AI1287">
        <v>1</v>
      </c>
      <c r="AJ1287">
        <v>1</v>
      </c>
      <c r="AK1287">
        <v>0</v>
      </c>
      <c r="AL1287">
        <v>181.19</v>
      </c>
      <c r="AO1287" t="s">
        <v>1425</v>
      </c>
      <c r="AP1287">
        <v>21996</v>
      </c>
      <c r="AV1287">
        <v>1.2</v>
      </c>
      <c r="AW1287" t="s">
        <v>73</v>
      </c>
    </row>
    <row r="1288" spans="1:49">
      <c r="A1288" s="1">
        <f>HYPERLINK("https://cms.ls-nyc.org/matter/dynamic-profile/view/1890271","19-1890271")</f>
        <v>0</v>
      </c>
      <c r="B1288" t="s">
        <v>76</v>
      </c>
      <c r="C1288" t="s">
        <v>83</v>
      </c>
      <c r="D1288" t="s">
        <v>127</v>
      </c>
      <c r="F1288" t="s">
        <v>1036</v>
      </c>
      <c r="G1288" t="s">
        <v>2291</v>
      </c>
      <c r="H1288" t="s">
        <v>3589</v>
      </c>
      <c r="I1288" t="s">
        <v>4163</v>
      </c>
      <c r="J1288" t="s">
        <v>4234</v>
      </c>
      <c r="K1288">
        <v>11103</v>
      </c>
      <c r="L1288" t="s">
        <v>4277</v>
      </c>
      <c r="M1288" t="s">
        <v>4277</v>
      </c>
      <c r="O1288" t="s">
        <v>4282</v>
      </c>
      <c r="P1288" t="s">
        <v>5441</v>
      </c>
      <c r="V1288" t="s">
        <v>5767</v>
      </c>
      <c r="Y1288">
        <v>1400</v>
      </c>
      <c r="Z1288" t="s">
        <v>5803</v>
      </c>
      <c r="AA1288" t="s">
        <v>5804</v>
      </c>
      <c r="AC1288" t="s">
        <v>7006</v>
      </c>
      <c r="AE1288" t="s">
        <v>8988</v>
      </c>
      <c r="AF1288">
        <v>3</v>
      </c>
      <c r="AG1288" t="s">
        <v>9269</v>
      </c>
      <c r="AH1288" t="s">
        <v>4280</v>
      </c>
      <c r="AI1288">
        <v>11</v>
      </c>
      <c r="AJ1288">
        <v>3</v>
      </c>
      <c r="AK1288">
        <v>1</v>
      </c>
      <c r="AL1288">
        <v>182.52</v>
      </c>
      <c r="AO1288" t="s">
        <v>1425</v>
      </c>
      <c r="AP1288">
        <v>47000</v>
      </c>
      <c r="AV1288">
        <v>1</v>
      </c>
      <c r="AW1288" t="s">
        <v>74</v>
      </c>
    </row>
    <row r="1289" spans="1:49">
      <c r="A1289" s="1">
        <f>HYPERLINK("https://cms.ls-nyc.org/matter/dynamic-profile/view/1873371","18-1873371")</f>
        <v>0</v>
      </c>
      <c r="B1289" t="s">
        <v>76</v>
      </c>
      <c r="C1289" t="s">
        <v>83</v>
      </c>
      <c r="D1289" t="s">
        <v>153</v>
      </c>
      <c r="F1289" t="s">
        <v>1209</v>
      </c>
      <c r="G1289" t="s">
        <v>1450</v>
      </c>
      <c r="H1289" t="s">
        <v>3590</v>
      </c>
      <c r="I1289">
        <v>2</v>
      </c>
      <c r="J1289" t="s">
        <v>4250</v>
      </c>
      <c r="K1289">
        <v>11412</v>
      </c>
      <c r="L1289" t="s">
        <v>4275</v>
      </c>
      <c r="M1289" t="s">
        <v>4275</v>
      </c>
      <c r="O1289" t="s">
        <v>4282</v>
      </c>
      <c r="P1289" t="s">
        <v>5442</v>
      </c>
      <c r="Q1289" t="s">
        <v>5732</v>
      </c>
      <c r="R1289" t="s">
        <v>5753</v>
      </c>
      <c r="T1289" t="s">
        <v>4276</v>
      </c>
      <c r="V1289" t="s">
        <v>5767</v>
      </c>
      <c r="W1289" t="s">
        <v>5772</v>
      </c>
      <c r="X1289" t="s">
        <v>153</v>
      </c>
      <c r="Y1289">
        <v>1200</v>
      </c>
      <c r="Z1289" t="s">
        <v>5803</v>
      </c>
      <c r="AA1289" t="s">
        <v>5804</v>
      </c>
      <c r="AC1289" t="s">
        <v>7007</v>
      </c>
      <c r="AE1289" t="s">
        <v>8989</v>
      </c>
      <c r="AF1289">
        <v>2</v>
      </c>
      <c r="AG1289" t="s">
        <v>9269</v>
      </c>
      <c r="AH1289" t="s">
        <v>4280</v>
      </c>
      <c r="AI1289">
        <v>4</v>
      </c>
      <c r="AJ1289">
        <v>4</v>
      </c>
      <c r="AK1289">
        <v>1</v>
      </c>
      <c r="AL1289">
        <v>183.55</v>
      </c>
      <c r="AN1289" t="s">
        <v>9294</v>
      </c>
      <c r="AO1289" t="s">
        <v>1425</v>
      </c>
      <c r="AP1289">
        <v>54000</v>
      </c>
      <c r="AV1289">
        <v>1.2</v>
      </c>
      <c r="AW1289" t="s">
        <v>54</v>
      </c>
    </row>
    <row r="1290" spans="1:49">
      <c r="A1290" s="1">
        <f>HYPERLINK("https://cms.ls-nyc.org/matter/dynamic-profile/view/1891957","19-1891957")</f>
        <v>0</v>
      </c>
      <c r="B1290" t="s">
        <v>76</v>
      </c>
      <c r="C1290" t="s">
        <v>83</v>
      </c>
      <c r="D1290" t="s">
        <v>165</v>
      </c>
      <c r="F1290" t="s">
        <v>1210</v>
      </c>
      <c r="G1290" t="s">
        <v>2003</v>
      </c>
      <c r="H1290" t="s">
        <v>2734</v>
      </c>
      <c r="I1290" t="s">
        <v>4164</v>
      </c>
      <c r="J1290" t="s">
        <v>4222</v>
      </c>
      <c r="K1290">
        <v>11434</v>
      </c>
      <c r="L1290" t="s">
        <v>4275</v>
      </c>
      <c r="M1290" t="s">
        <v>4275</v>
      </c>
      <c r="O1290" t="s">
        <v>4281</v>
      </c>
      <c r="P1290" t="s">
        <v>5443</v>
      </c>
      <c r="Q1290" t="s">
        <v>5731</v>
      </c>
      <c r="R1290" t="s">
        <v>5751</v>
      </c>
      <c r="T1290" t="s">
        <v>4276</v>
      </c>
      <c r="V1290" t="s">
        <v>5768</v>
      </c>
      <c r="W1290" t="s">
        <v>5773</v>
      </c>
      <c r="X1290" t="s">
        <v>134</v>
      </c>
      <c r="Y1290">
        <v>680</v>
      </c>
      <c r="Z1290" t="s">
        <v>5803</v>
      </c>
      <c r="AA1290" t="s">
        <v>5804</v>
      </c>
      <c r="AC1290" t="s">
        <v>7008</v>
      </c>
      <c r="AE1290" t="s">
        <v>8990</v>
      </c>
      <c r="AF1290">
        <v>360</v>
      </c>
      <c r="AG1290" t="s">
        <v>9278</v>
      </c>
      <c r="AH1290" t="s">
        <v>4280</v>
      </c>
      <c r="AI1290">
        <v>10</v>
      </c>
      <c r="AJ1290">
        <v>1</v>
      </c>
      <c r="AK1290">
        <v>1</v>
      </c>
      <c r="AL1290">
        <v>192.55</v>
      </c>
      <c r="AO1290" t="s">
        <v>1425</v>
      </c>
      <c r="AP1290">
        <v>32560</v>
      </c>
      <c r="AV1290">
        <v>76.79000000000001</v>
      </c>
      <c r="AW1290" t="s">
        <v>54</v>
      </c>
    </row>
    <row r="1291" spans="1:49">
      <c r="A1291" s="1">
        <f>HYPERLINK("https://cms.ls-nyc.org/matter/dynamic-profile/view/1892771","19-1892771")</f>
        <v>0</v>
      </c>
      <c r="B1291" t="s">
        <v>76</v>
      </c>
      <c r="C1291" t="s">
        <v>83</v>
      </c>
      <c r="D1291" t="s">
        <v>134</v>
      </c>
      <c r="F1291" t="s">
        <v>1211</v>
      </c>
      <c r="G1291" t="s">
        <v>2292</v>
      </c>
      <c r="H1291" t="s">
        <v>3591</v>
      </c>
      <c r="I1291" t="s">
        <v>3842</v>
      </c>
      <c r="J1291" t="s">
        <v>4225</v>
      </c>
      <c r="K1291">
        <v>11385</v>
      </c>
      <c r="L1291" t="s">
        <v>4275</v>
      </c>
      <c r="M1291" t="s">
        <v>4275</v>
      </c>
      <c r="O1291" t="s">
        <v>4281</v>
      </c>
      <c r="P1291" t="s">
        <v>5444</v>
      </c>
      <c r="Q1291" t="s">
        <v>5731</v>
      </c>
      <c r="R1291" t="s">
        <v>5751</v>
      </c>
      <c r="T1291" t="s">
        <v>4276</v>
      </c>
      <c r="V1291" t="s">
        <v>5767</v>
      </c>
      <c r="X1291" t="s">
        <v>206</v>
      </c>
      <c r="Y1291">
        <v>1010</v>
      </c>
      <c r="Z1291" t="s">
        <v>5803</v>
      </c>
      <c r="AA1291" t="s">
        <v>5804</v>
      </c>
      <c r="AC1291" t="s">
        <v>7009</v>
      </c>
      <c r="AE1291" t="s">
        <v>8991</v>
      </c>
      <c r="AF1291">
        <v>6</v>
      </c>
      <c r="AG1291" t="s">
        <v>9272</v>
      </c>
      <c r="AH1291" t="s">
        <v>4280</v>
      </c>
      <c r="AI1291">
        <v>15</v>
      </c>
      <c r="AJ1291">
        <v>1</v>
      </c>
      <c r="AK1291">
        <v>1</v>
      </c>
      <c r="AL1291">
        <v>193.97</v>
      </c>
      <c r="AP1291">
        <v>32800</v>
      </c>
      <c r="AV1291">
        <v>54.9</v>
      </c>
      <c r="AW1291" t="s">
        <v>74</v>
      </c>
    </row>
    <row r="1292" spans="1:49">
      <c r="A1292" s="1">
        <f>HYPERLINK("https://cms.ls-nyc.org/matter/dynamic-profile/view/1875220","18-1875220")</f>
        <v>0</v>
      </c>
      <c r="B1292" t="s">
        <v>76</v>
      </c>
      <c r="C1292" t="s">
        <v>83</v>
      </c>
      <c r="D1292" t="s">
        <v>103</v>
      </c>
      <c r="F1292" t="s">
        <v>327</v>
      </c>
      <c r="G1292" t="s">
        <v>1652</v>
      </c>
      <c r="H1292" t="s">
        <v>3592</v>
      </c>
      <c r="J1292" t="s">
        <v>4240</v>
      </c>
      <c r="K1292">
        <v>11373</v>
      </c>
      <c r="L1292" t="s">
        <v>4275</v>
      </c>
      <c r="M1292" t="s">
        <v>4275</v>
      </c>
      <c r="O1292" t="s">
        <v>4281</v>
      </c>
      <c r="P1292" t="s">
        <v>5445</v>
      </c>
      <c r="Q1292" t="s">
        <v>5731</v>
      </c>
      <c r="R1292" t="s">
        <v>5753</v>
      </c>
      <c r="T1292" t="s">
        <v>4276</v>
      </c>
      <c r="V1292" t="s">
        <v>5767</v>
      </c>
      <c r="W1292" t="s">
        <v>5771</v>
      </c>
      <c r="X1292" t="s">
        <v>103</v>
      </c>
      <c r="Y1292">
        <v>1399</v>
      </c>
      <c r="Z1292" t="s">
        <v>5803</v>
      </c>
      <c r="AA1292" t="s">
        <v>5806</v>
      </c>
      <c r="AC1292" t="s">
        <v>7010</v>
      </c>
      <c r="AE1292" t="s">
        <v>8992</v>
      </c>
      <c r="AF1292">
        <v>192</v>
      </c>
      <c r="AG1292" t="s">
        <v>9272</v>
      </c>
      <c r="AH1292" t="s">
        <v>4280</v>
      </c>
      <c r="AI1292">
        <v>24</v>
      </c>
      <c r="AJ1292">
        <v>1</v>
      </c>
      <c r="AK1292">
        <v>1</v>
      </c>
      <c r="AL1292">
        <v>194.41</v>
      </c>
      <c r="AO1292" t="s">
        <v>9298</v>
      </c>
      <c r="AP1292">
        <v>32000</v>
      </c>
      <c r="AV1292">
        <v>1.4</v>
      </c>
      <c r="AW1292" t="s">
        <v>76</v>
      </c>
    </row>
    <row r="1293" spans="1:49">
      <c r="A1293" s="1">
        <f>HYPERLINK("https://cms.ls-nyc.org/matter/dynamic-profile/view/1883076","18-1883076")</f>
        <v>0</v>
      </c>
      <c r="B1293" t="s">
        <v>76</v>
      </c>
      <c r="C1293" t="s">
        <v>83</v>
      </c>
      <c r="D1293" t="s">
        <v>223</v>
      </c>
      <c r="F1293" t="s">
        <v>1212</v>
      </c>
      <c r="G1293" t="s">
        <v>1385</v>
      </c>
      <c r="H1293" t="s">
        <v>3593</v>
      </c>
      <c r="I1293" t="s">
        <v>3864</v>
      </c>
      <c r="J1293" t="s">
        <v>4258</v>
      </c>
      <c r="K1293">
        <v>11369</v>
      </c>
      <c r="L1293" t="s">
        <v>4275</v>
      </c>
      <c r="M1293" t="s">
        <v>4275</v>
      </c>
      <c r="O1293" t="s">
        <v>4282</v>
      </c>
      <c r="P1293" t="s">
        <v>5446</v>
      </c>
      <c r="Q1293" t="s">
        <v>5732</v>
      </c>
      <c r="R1293" t="s">
        <v>5753</v>
      </c>
      <c r="T1293" t="s">
        <v>4276</v>
      </c>
      <c r="V1293" t="s">
        <v>5767</v>
      </c>
      <c r="W1293" t="s">
        <v>5772</v>
      </c>
      <c r="X1293" t="s">
        <v>223</v>
      </c>
      <c r="Y1293">
        <v>1100</v>
      </c>
      <c r="Z1293" t="s">
        <v>5803</v>
      </c>
      <c r="AA1293" t="s">
        <v>5804</v>
      </c>
      <c r="AC1293" t="s">
        <v>7011</v>
      </c>
      <c r="AE1293" t="s">
        <v>8993</v>
      </c>
      <c r="AF1293">
        <v>3</v>
      </c>
      <c r="AG1293" t="s">
        <v>9269</v>
      </c>
      <c r="AH1293" t="s">
        <v>4280</v>
      </c>
      <c r="AI1293">
        <v>8</v>
      </c>
      <c r="AJ1293">
        <v>2</v>
      </c>
      <c r="AK1293">
        <v>0</v>
      </c>
      <c r="AL1293">
        <v>194.41</v>
      </c>
      <c r="AO1293" t="s">
        <v>9298</v>
      </c>
      <c r="AP1293">
        <v>32000</v>
      </c>
      <c r="AV1293">
        <v>0</v>
      </c>
      <c r="AW1293" t="s">
        <v>73</v>
      </c>
    </row>
    <row r="1294" spans="1:49">
      <c r="A1294" s="1">
        <f>HYPERLINK("https://cms.ls-nyc.org/matter/dynamic-profile/view/1888432","19-1888432")</f>
        <v>0</v>
      </c>
      <c r="B1294" t="s">
        <v>76</v>
      </c>
      <c r="C1294" t="s">
        <v>83</v>
      </c>
      <c r="D1294" t="s">
        <v>198</v>
      </c>
      <c r="F1294" t="s">
        <v>930</v>
      </c>
      <c r="G1294" t="s">
        <v>1607</v>
      </c>
      <c r="H1294" t="s">
        <v>3594</v>
      </c>
      <c r="I1294" t="s">
        <v>3878</v>
      </c>
      <c r="J1294" t="s">
        <v>4222</v>
      </c>
      <c r="K1294">
        <v>11433</v>
      </c>
      <c r="L1294" t="s">
        <v>4275</v>
      </c>
      <c r="M1294" t="s">
        <v>4275</v>
      </c>
      <c r="O1294" t="s">
        <v>4281</v>
      </c>
      <c r="P1294" t="s">
        <v>5447</v>
      </c>
      <c r="Q1294" t="s">
        <v>5732</v>
      </c>
      <c r="R1294" t="s">
        <v>5751</v>
      </c>
      <c r="T1294" t="s">
        <v>4276</v>
      </c>
      <c r="V1294" t="s">
        <v>5767</v>
      </c>
      <c r="W1294" t="s">
        <v>5772</v>
      </c>
      <c r="X1294" t="s">
        <v>144</v>
      </c>
      <c r="Y1294">
        <v>600</v>
      </c>
      <c r="Z1294" t="s">
        <v>5803</v>
      </c>
      <c r="AA1294" t="s">
        <v>5805</v>
      </c>
      <c r="AC1294" t="s">
        <v>6930</v>
      </c>
      <c r="AE1294" t="s">
        <v>8912</v>
      </c>
      <c r="AF1294">
        <v>3</v>
      </c>
      <c r="AG1294" t="s">
        <v>9269</v>
      </c>
      <c r="AH1294" t="s">
        <v>4280</v>
      </c>
      <c r="AI1294">
        <v>1</v>
      </c>
      <c r="AJ1294">
        <v>1</v>
      </c>
      <c r="AK1294">
        <v>0</v>
      </c>
      <c r="AL1294">
        <v>218.57</v>
      </c>
      <c r="AM1294" t="s">
        <v>138</v>
      </c>
      <c r="AN1294" t="s">
        <v>9293</v>
      </c>
      <c r="AO1294" t="s">
        <v>1425</v>
      </c>
      <c r="AP1294">
        <v>27300</v>
      </c>
      <c r="AR1294" t="s">
        <v>9329</v>
      </c>
      <c r="AS1294" t="s">
        <v>9336</v>
      </c>
      <c r="AT1294" t="s">
        <v>9369</v>
      </c>
      <c r="AU1294" t="s">
        <v>9495</v>
      </c>
      <c r="AV1294">
        <v>11.2</v>
      </c>
      <c r="AW1294" t="s">
        <v>73</v>
      </c>
    </row>
    <row r="1295" spans="1:49">
      <c r="A1295" s="1">
        <f>HYPERLINK("https://cms.ls-nyc.org/matter/dynamic-profile/view/1894973","19-1894973")</f>
        <v>0</v>
      </c>
      <c r="B1295" t="s">
        <v>76</v>
      </c>
      <c r="C1295" t="s">
        <v>83</v>
      </c>
      <c r="D1295" t="s">
        <v>101</v>
      </c>
      <c r="F1295" t="s">
        <v>1213</v>
      </c>
      <c r="G1295" t="s">
        <v>1522</v>
      </c>
      <c r="H1295" t="s">
        <v>3595</v>
      </c>
      <c r="I1295" t="s">
        <v>4165</v>
      </c>
      <c r="J1295" t="s">
        <v>4240</v>
      </c>
      <c r="K1295">
        <v>11373</v>
      </c>
      <c r="L1295" t="s">
        <v>4275</v>
      </c>
      <c r="M1295" t="s">
        <v>4275</v>
      </c>
      <c r="O1295" t="s">
        <v>4281</v>
      </c>
      <c r="Q1295" t="s">
        <v>5731</v>
      </c>
      <c r="R1295" t="s">
        <v>5753</v>
      </c>
      <c r="T1295" t="s">
        <v>4276</v>
      </c>
      <c r="V1295" t="s">
        <v>5767</v>
      </c>
      <c r="X1295" t="s">
        <v>101</v>
      </c>
      <c r="Y1295">
        <v>2273.12</v>
      </c>
      <c r="Z1295" t="s">
        <v>5803</v>
      </c>
      <c r="AA1295" t="s">
        <v>5805</v>
      </c>
      <c r="AC1295" t="s">
        <v>7012</v>
      </c>
      <c r="AE1295" t="s">
        <v>8994</v>
      </c>
      <c r="AF1295">
        <v>54</v>
      </c>
      <c r="AG1295" t="s">
        <v>9272</v>
      </c>
      <c r="AH1295" t="s">
        <v>4280</v>
      </c>
      <c r="AI1295">
        <v>9</v>
      </c>
      <c r="AJ1295">
        <v>2</v>
      </c>
      <c r="AK1295">
        <v>2</v>
      </c>
      <c r="AL1295">
        <v>223.69</v>
      </c>
      <c r="AO1295" t="s">
        <v>1425</v>
      </c>
      <c r="AP1295">
        <v>57600</v>
      </c>
      <c r="AV1295">
        <v>1</v>
      </c>
      <c r="AW1295" t="s">
        <v>54</v>
      </c>
    </row>
    <row r="1296" spans="1:49">
      <c r="A1296" s="1">
        <f>HYPERLINK("https://cms.ls-nyc.org/matter/dynamic-profile/view/1873737","18-1873737")</f>
        <v>0</v>
      </c>
      <c r="B1296" t="s">
        <v>77</v>
      </c>
      <c r="C1296" t="s">
        <v>83</v>
      </c>
      <c r="D1296" t="s">
        <v>112</v>
      </c>
      <c r="F1296" t="s">
        <v>539</v>
      </c>
      <c r="G1296" t="s">
        <v>2293</v>
      </c>
      <c r="H1296" t="s">
        <v>3596</v>
      </c>
      <c r="I1296" t="s">
        <v>3892</v>
      </c>
      <c r="J1296" t="s">
        <v>4229</v>
      </c>
      <c r="K1296">
        <v>11355</v>
      </c>
      <c r="L1296" t="s">
        <v>4275</v>
      </c>
      <c r="M1296" t="s">
        <v>4275</v>
      </c>
      <c r="O1296" t="s">
        <v>4282</v>
      </c>
      <c r="P1296" t="s">
        <v>5448</v>
      </c>
      <c r="Q1296" t="s">
        <v>5731</v>
      </c>
      <c r="R1296" t="s">
        <v>5751</v>
      </c>
      <c r="T1296" t="s">
        <v>4276</v>
      </c>
      <c r="V1296" t="s">
        <v>5767</v>
      </c>
      <c r="W1296" t="s">
        <v>5772</v>
      </c>
      <c r="X1296" t="s">
        <v>85</v>
      </c>
      <c r="Y1296">
        <v>810.1900000000001</v>
      </c>
      <c r="Z1296" t="s">
        <v>5803</v>
      </c>
      <c r="AA1296" t="s">
        <v>5804</v>
      </c>
      <c r="AC1296" t="s">
        <v>7013</v>
      </c>
      <c r="AE1296" t="s">
        <v>8995</v>
      </c>
      <c r="AF1296">
        <v>65</v>
      </c>
      <c r="AG1296" t="s">
        <v>9272</v>
      </c>
      <c r="AH1296" t="s">
        <v>4280</v>
      </c>
      <c r="AI1296">
        <v>8</v>
      </c>
      <c r="AJ1296">
        <v>1</v>
      </c>
      <c r="AK1296">
        <v>0</v>
      </c>
      <c r="AL1296">
        <v>51.4</v>
      </c>
      <c r="AN1296" t="s">
        <v>9294</v>
      </c>
      <c r="AO1296" t="s">
        <v>1425</v>
      </c>
      <c r="AP1296">
        <v>6240</v>
      </c>
      <c r="AV1296">
        <v>48.18</v>
      </c>
      <c r="AW1296" t="s">
        <v>54</v>
      </c>
    </row>
    <row r="1297" spans="1:49">
      <c r="A1297" s="1">
        <f>HYPERLINK("https://cms.ls-nyc.org/matter/dynamic-profile/view/1898728","19-1898728")</f>
        <v>0</v>
      </c>
      <c r="B1297" t="s">
        <v>77</v>
      </c>
      <c r="C1297" t="s">
        <v>83</v>
      </c>
      <c r="D1297" t="s">
        <v>93</v>
      </c>
      <c r="F1297" t="s">
        <v>696</v>
      </c>
      <c r="G1297" t="s">
        <v>2294</v>
      </c>
      <c r="H1297" t="s">
        <v>3597</v>
      </c>
      <c r="I1297" t="s">
        <v>4001</v>
      </c>
      <c r="J1297" t="s">
        <v>4223</v>
      </c>
      <c r="K1297">
        <v>11423</v>
      </c>
      <c r="L1297" t="s">
        <v>4275</v>
      </c>
      <c r="M1297" t="s">
        <v>4275</v>
      </c>
      <c r="O1297" t="s">
        <v>4282</v>
      </c>
      <c r="P1297" t="s">
        <v>5449</v>
      </c>
      <c r="Q1297" t="s">
        <v>5732</v>
      </c>
      <c r="R1297" t="s">
        <v>5751</v>
      </c>
      <c r="T1297" t="s">
        <v>4276</v>
      </c>
      <c r="V1297" t="s">
        <v>5767</v>
      </c>
      <c r="X1297" t="s">
        <v>93</v>
      </c>
      <c r="Y1297">
        <v>713</v>
      </c>
      <c r="Z1297" t="s">
        <v>5803</v>
      </c>
      <c r="AA1297" t="s">
        <v>5804</v>
      </c>
      <c r="AC1297" t="s">
        <v>6517</v>
      </c>
      <c r="AD1297" t="s">
        <v>7753</v>
      </c>
      <c r="AE1297" t="s">
        <v>8996</v>
      </c>
      <c r="AF1297">
        <v>36</v>
      </c>
      <c r="AG1297" t="s">
        <v>9270</v>
      </c>
      <c r="AH1297" t="s">
        <v>9287</v>
      </c>
      <c r="AI1297">
        <v>44</v>
      </c>
      <c r="AJ1297">
        <v>4</v>
      </c>
      <c r="AK1297">
        <v>0</v>
      </c>
      <c r="AL1297">
        <v>71.3</v>
      </c>
      <c r="AO1297" t="s">
        <v>1425</v>
      </c>
      <c r="AP1297">
        <v>18360</v>
      </c>
      <c r="AV1297">
        <v>10.13</v>
      </c>
      <c r="AW1297" t="s">
        <v>54</v>
      </c>
    </row>
    <row r="1298" spans="1:49">
      <c r="A1298" s="1">
        <f>HYPERLINK("https://cms.ls-nyc.org/matter/dynamic-profile/view/1898298","19-1898298")</f>
        <v>0</v>
      </c>
      <c r="B1298" t="s">
        <v>77</v>
      </c>
      <c r="C1298" t="s">
        <v>83</v>
      </c>
      <c r="D1298" t="s">
        <v>172</v>
      </c>
      <c r="F1298" t="s">
        <v>1214</v>
      </c>
      <c r="G1298" t="s">
        <v>2295</v>
      </c>
      <c r="H1298" t="s">
        <v>3598</v>
      </c>
      <c r="I1298" t="s">
        <v>4084</v>
      </c>
      <c r="J1298" t="s">
        <v>4241</v>
      </c>
      <c r="K1298">
        <v>11368</v>
      </c>
      <c r="L1298" t="s">
        <v>4275</v>
      </c>
      <c r="M1298" t="s">
        <v>4275</v>
      </c>
      <c r="O1298" t="s">
        <v>4283</v>
      </c>
      <c r="Q1298" t="s">
        <v>5738</v>
      </c>
      <c r="R1298" t="s">
        <v>5752</v>
      </c>
      <c r="T1298" t="s">
        <v>4275</v>
      </c>
      <c r="V1298" t="s">
        <v>5767</v>
      </c>
      <c r="Y1298">
        <v>1022</v>
      </c>
      <c r="Z1298" t="s">
        <v>5803</v>
      </c>
      <c r="AA1298" t="s">
        <v>5806</v>
      </c>
      <c r="AC1298" t="s">
        <v>7014</v>
      </c>
      <c r="AE1298" t="s">
        <v>8997</v>
      </c>
      <c r="AF1298">
        <v>231</v>
      </c>
      <c r="AG1298" t="s">
        <v>9272</v>
      </c>
      <c r="AH1298" t="s">
        <v>9287</v>
      </c>
      <c r="AI1298">
        <v>37</v>
      </c>
      <c r="AJ1298">
        <v>2</v>
      </c>
      <c r="AK1298">
        <v>0</v>
      </c>
      <c r="AL1298">
        <v>92.91</v>
      </c>
      <c r="AO1298" t="s">
        <v>1425</v>
      </c>
      <c r="AP1298">
        <v>15711</v>
      </c>
      <c r="AV1298">
        <v>0</v>
      </c>
      <c r="AW1298" t="s">
        <v>77</v>
      </c>
    </row>
    <row r="1299" spans="1:49">
      <c r="A1299" s="1">
        <f>HYPERLINK("https://cms.ls-nyc.org/matter/dynamic-profile/view/1872740","18-1872740")</f>
        <v>0</v>
      </c>
      <c r="B1299" t="s">
        <v>78</v>
      </c>
      <c r="C1299" t="s">
        <v>82</v>
      </c>
      <c r="D1299" t="s">
        <v>261</v>
      </c>
      <c r="E1299" t="s">
        <v>265</v>
      </c>
      <c r="F1299" t="s">
        <v>1161</v>
      </c>
      <c r="G1299" t="s">
        <v>2296</v>
      </c>
      <c r="H1299" t="s">
        <v>3599</v>
      </c>
      <c r="I1299" t="s">
        <v>3864</v>
      </c>
      <c r="J1299" t="s">
        <v>4246</v>
      </c>
      <c r="K1299">
        <v>11963</v>
      </c>
      <c r="L1299" t="s">
        <v>4275</v>
      </c>
      <c r="M1299" t="s">
        <v>4275</v>
      </c>
      <c r="O1299" t="s">
        <v>4282</v>
      </c>
      <c r="P1299" t="s">
        <v>5450</v>
      </c>
      <c r="Q1299" t="s">
        <v>5732</v>
      </c>
      <c r="R1299" t="s">
        <v>5753</v>
      </c>
      <c r="S1299" t="s">
        <v>5759</v>
      </c>
      <c r="T1299" t="s">
        <v>4276</v>
      </c>
      <c r="V1299" t="s">
        <v>5767</v>
      </c>
      <c r="W1299" t="s">
        <v>5772</v>
      </c>
      <c r="X1299" t="s">
        <v>195</v>
      </c>
      <c r="Y1299">
        <v>1600</v>
      </c>
      <c r="Z1299" t="s">
        <v>5803</v>
      </c>
      <c r="AA1299" t="s">
        <v>5804</v>
      </c>
      <c r="AB1299" t="s">
        <v>5821</v>
      </c>
      <c r="AC1299" t="s">
        <v>7015</v>
      </c>
      <c r="AE1299" t="s">
        <v>8998</v>
      </c>
      <c r="AF1299">
        <v>2</v>
      </c>
      <c r="AG1299" t="s">
        <v>9269</v>
      </c>
      <c r="AH1299" t="s">
        <v>4280</v>
      </c>
      <c r="AI1299">
        <v>5</v>
      </c>
      <c r="AJ1299">
        <v>2</v>
      </c>
      <c r="AK1299">
        <v>0</v>
      </c>
      <c r="AL1299">
        <v>0</v>
      </c>
      <c r="AN1299" t="s">
        <v>9294</v>
      </c>
      <c r="AO1299" t="s">
        <v>1425</v>
      </c>
      <c r="AP1299">
        <v>0</v>
      </c>
      <c r="AV1299">
        <v>0.4</v>
      </c>
      <c r="AW1299" t="s">
        <v>78</v>
      </c>
    </row>
    <row r="1300" spans="1:49">
      <c r="A1300" s="1">
        <f>HYPERLINK("https://cms.ls-nyc.org/matter/dynamic-profile/view/1874432","18-1874432")</f>
        <v>0</v>
      </c>
      <c r="B1300" t="s">
        <v>78</v>
      </c>
      <c r="C1300" t="s">
        <v>83</v>
      </c>
      <c r="D1300" t="s">
        <v>212</v>
      </c>
      <c r="F1300" t="s">
        <v>1215</v>
      </c>
      <c r="G1300" t="s">
        <v>1713</v>
      </c>
      <c r="H1300" t="s">
        <v>3600</v>
      </c>
      <c r="I1300" t="s">
        <v>3864</v>
      </c>
      <c r="J1300" t="s">
        <v>4243</v>
      </c>
      <c r="K1300">
        <v>11692</v>
      </c>
      <c r="L1300" t="s">
        <v>4275</v>
      </c>
      <c r="M1300" t="s">
        <v>4275</v>
      </c>
      <c r="O1300" t="s">
        <v>4283</v>
      </c>
      <c r="P1300" t="s">
        <v>5451</v>
      </c>
      <c r="Q1300" t="s">
        <v>5731</v>
      </c>
      <c r="R1300" t="s">
        <v>5753</v>
      </c>
      <c r="T1300" t="s">
        <v>4276</v>
      </c>
      <c r="V1300" t="s">
        <v>5767</v>
      </c>
      <c r="W1300" t="s">
        <v>5774</v>
      </c>
      <c r="X1300" t="s">
        <v>212</v>
      </c>
      <c r="Y1300">
        <v>1930</v>
      </c>
      <c r="Z1300" t="s">
        <v>5803</v>
      </c>
      <c r="AA1300" t="s">
        <v>5804</v>
      </c>
      <c r="AC1300" t="s">
        <v>7016</v>
      </c>
      <c r="AE1300" t="s">
        <v>8999</v>
      </c>
      <c r="AF1300">
        <v>3</v>
      </c>
      <c r="AG1300" t="s">
        <v>9270</v>
      </c>
      <c r="AH1300" t="s">
        <v>9282</v>
      </c>
      <c r="AI1300">
        <v>5</v>
      </c>
      <c r="AJ1300">
        <v>3</v>
      </c>
      <c r="AK1300">
        <v>4</v>
      </c>
      <c r="AL1300">
        <v>0</v>
      </c>
      <c r="AO1300" t="s">
        <v>1425</v>
      </c>
      <c r="AP1300">
        <v>0</v>
      </c>
      <c r="AV1300">
        <v>0.1</v>
      </c>
      <c r="AW1300" t="s">
        <v>78</v>
      </c>
    </row>
    <row r="1301" spans="1:49">
      <c r="A1301" s="1">
        <f>HYPERLINK("https://cms.ls-nyc.org/matter/dynamic-profile/view/1878108","18-1878108")</f>
        <v>0</v>
      </c>
      <c r="B1301" t="s">
        <v>78</v>
      </c>
      <c r="C1301" t="s">
        <v>83</v>
      </c>
      <c r="D1301" t="s">
        <v>188</v>
      </c>
      <c r="F1301" t="s">
        <v>750</v>
      </c>
      <c r="G1301" t="s">
        <v>1462</v>
      </c>
      <c r="H1301" t="s">
        <v>3601</v>
      </c>
      <c r="I1301" t="s">
        <v>3996</v>
      </c>
      <c r="J1301" t="s">
        <v>4243</v>
      </c>
      <c r="K1301">
        <v>11691</v>
      </c>
      <c r="L1301" t="s">
        <v>4275</v>
      </c>
      <c r="M1301" t="s">
        <v>4275</v>
      </c>
      <c r="O1301" t="s">
        <v>4282</v>
      </c>
      <c r="P1301" t="s">
        <v>5452</v>
      </c>
      <c r="Q1301" t="s">
        <v>5731</v>
      </c>
      <c r="R1301" t="s">
        <v>5751</v>
      </c>
      <c r="T1301" t="s">
        <v>4275</v>
      </c>
      <c r="V1301" t="s">
        <v>5767</v>
      </c>
      <c r="X1301" t="s">
        <v>188</v>
      </c>
      <c r="Y1301">
        <v>1268</v>
      </c>
      <c r="Z1301" t="s">
        <v>5803</v>
      </c>
      <c r="AA1301" t="s">
        <v>5804</v>
      </c>
      <c r="AC1301" t="s">
        <v>7017</v>
      </c>
      <c r="AD1301" t="s">
        <v>7754</v>
      </c>
      <c r="AE1301" t="s">
        <v>9000</v>
      </c>
      <c r="AF1301">
        <v>100</v>
      </c>
      <c r="AG1301" t="s">
        <v>9272</v>
      </c>
      <c r="AH1301" t="s">
        <v>4280</v>
      </c>
      <c r="AI1301">
        <v>1</v>
      </c>
      <c r="AJ1301">
        <v>1</v>
      </c>
      <c r="AK1301">
        <v>1</v>
      </c>
      <c r="AL1301">
        <v>0</v>
      </c>
      <c r="AP1301">
        <v>0</v>
      </c>
      <c r="AV1301">
        <v>11.82</v>
      </c>
      <c r="AW1301" t="s">
        <v>74</v>
      </c>
    </row>
    <row r="1302" spans="1:49">
      <c r="A1302" s="1">
        <f>HYPERLINK("https://cms.ls-nyc.org/matter/dynamic-profile/view/1893856","19-1893856")</f>
        <v>0</v>
      </c>
      <c r="B1302" t="s">
        <v>78</v>
      </c>
      <c r="C1302" t="s">
        <v>83</v>
      </c>
      <c r="D1302" t="s">
        <v>179</v>
      </c>
      <c r="F1302" t="s">
        <v>1216</v>
      </c>
      <c r="G1302" t="s">
        <v>2297</v>
      </c>
      <c r="H1302" t="s">
        <v>3602</v>
      </c>
      <c r="J1302" t="s">
        <v>4222</v>
      </c>
      <c r="K1302">
        <v>11435</v>
      </c>
      <c r="L1302" t="s">
        <v>4275</v>
      </c>
      <c r="M1302" t="s">
        <v>4275</v>
      </c>
      <c r="O1302" t="s">
        <v>4283</v>
      </c>
      <c r="P1302" t="s">
        <v>5453</v>
      </c>
      <c r="Q1302" t="s">
        <v>5731</v>
      </c>
      <c r="R1302" t="s">
        <v>5751</v>
      </c>
      <c r="T1302" t="s">
        <v>4276</v>
      </c>
      <c r="V1302" t="s">
        <v>5767</v>
      </c>
      <c r="W1302" t="s">
        <v>5771</v>
      </c>
      <c r="Y1302">
        <v>1017.52</v>
      </c>
      <c r="Z1302" t="s">
        <v>5803</v>
      </c>
      <c r="AA1302" t="s">
        <v>5804</v>
      </c>
      <c r="AC1302" t="s">
        <v>7018</v>
      </c>
      <c r="AE1302" t="s">
        <v>9001</v>
      </c>
      <c r="AF1302">
        <v>70</v>
      </c>
      <c r="AG1302" t="s">
        <v>9272</v>
      </c>
      <c r="AH1302" t="s">
        <v>4280</v>
      </c>
      <c r="AI1302">
        <v>15</v>
      </c>
      <c r="AJ1302">
        <v>2</v>
      </c>
      <c r="AK1302">
        <v>2</v>
      </c>
      <c r="AL1302">
        <v>0</v>
      </c>
      <c r="AO1302" t="s">
        <v>9298</v>
      </c>
      <c r="AP1302">
        <v>0</v>
      </c>
      <c r="AV1302">
        <v>7</v>
      </c>
      <c r="AW1302" t="s">
        <v>78</v>
      </c>
    </row>
    <row r="1303" spans="1:49">
      <c r="A1303" s="1">
        <f>HYPERLINK("https://cms.ls-nyc.org/matter/dynamic-profile/view/1895153","19-1895153")</f>
        <v>0</v>
      </c>
      <c r="B1303" t="s">
        <v>78</v>
      </c>
      <c r="C1303" t="s">
        <v>83</v>
      </c>
      <c r="D1303" t="s">
        <v>218</v>
      </c>
      <c r="F1303" t="s">
        <v>316</v>
      </c>
      <c r="G1303" t="s">
        <v>2298</v>
      </c>
      <c r="H1303" t="s">
        <v>3603</v>
      </c>
      <c r="J1303" t="s">
        <v>4222</v>
      </c>
      <c r="K1303">
        <v>11434</v>
      </c>
      <c r="L1303" t="s">
        <v>4275</v>
      </c>
      <c r="M1303" t="s">
        <v>4275</v>
      </c>
      <c r="O1303" t="s">
        <v>4281</v>
      </c>
      <c r="P1303" t="s">
        <v>5454</v>
      </c>
      <c r="Q1303" t="s">
        <v>5732</v>
      </c>
      <c r="R1303" t="s">
        <v>5751</v>
      </c>
      <c r="T1303" t="s">
        <v>4276</v>
      </c>
      <c r="V1303" t="s">
        <v>5767</v>
      </c>
      <c r="W1303" t="s">
        <v>5772</v>
      </c>
      <c r="Y1303">
        <v>2700</v>
      </c>
      <c r="Z1303" t="s">
        <v>5803</v>
      </c>
      <c r="AA1303" t="s">
        <v>5804</v>
      </c>
      <c r="AC1303" t="s">
        <v>7019</v>
      </c>
      <c r="AD1303" t="s">
        <v>7755</v>
      </c>
      <c r="AE1303" t="s">
        <v>9002</v>
      </c>
      <c r="AF1303">
        <v>1</v>
      </c>
      <c r="AG1303" t="s">
        <v>9269</v>
      </c>
      <c r="AH1303" t="s">
        <v>4280</v>
      </c>
      <c r="AI1303">
        <v>1</v>
      </c>
      <c r="AJ1303">
        <v>1</v>
      </c>
      <c r="AK1303">
        <v>2</v>
      </c>
      <c r="AL1303">
        <v>0</v>
      </c>
      <c r="AO1303" t="s">
        <v>1425</v>
      </c>
      <c r="AP1303">
        <v>0</v>
      </c>
      <c r="AV1303">
        <v>2.1</v>
      </c>
      <c r="AW1303" t="s">
        <v>67</v>
      </c>
    </row>
    <row r="1304" spans="1:49">
      <c r="A1304" s="1">
        <f>HYPERLINK("https://cms.ls-nyc.org/matter/dynamic-profile/view/1888051","19-1888051")</f>
        <v>0</v>
      </c>
      <c r="B1304" t="s">
        <v>78</v>
      </c>
      <c r="C1304" t="s">
        <v>83</v>
      </c>
      <c r="D1304" t="s">
        <v>152</v>
      </c>
      <c r="F1304" t="s">
        <v>1217</v>
      </c>
      <c r="G1304" t="s">
        <v>2299</v>
      </c>
      <c r="H1304" t="s">
        <v>2857</v>
      </c>
      <c r="I1304" t="s">
        <v>4166</v>
      </c>
      <c r="J1304" t="s">
        <v>4222</v>
      </c>
      <c r="K1304">
        <v>11434</v>
      </c>
      <c r="L1304" t="s">
        <v>4275</v>
      </c>
      <c r="M1304" t="s">
        <v>4275</v>
      </c>
      <c r="O1304" t="s">
        <v>4281</v>
      </c>
      <c r="P1304" t="s">
        <v>5455</v>
      </c>
      <c r="Q1304" t="s">
        <v>5731</v>
      </c>
      <c r="R1304" t="s">
        <v>5751</v>
      </c>
      <c r="T1304" t="s">
        <v>4276</v>
      </c>
      <c r="V1304" t="s">
        <v>5767</v>
      </c>
      <c r="Y1304">
        <v>1223</v>
      </c>
      <c r="Z1304" t="s">
        <v>5803</v>
      </c>
      <c r="AA1304" t="s">
        <v>5804</v>
      </c>
      <c r="AC1304" t="s">
        <v>6448</v>
      </c>
      <c r="AE1304" t="s">
        <v>7289</v>
      </c>
      <c r="AF1304">
        <v>312</v>
      </c>
      <c r="AG1304" t="s">
        <v>9279</v>
      </c>
      <c r="AH1304" t="s">
        <v>4280</v>
      </c>
      <c r="AI1304">
        <v>-1</v>
      </c>
      <c r="AJ1304">
        <v>2</v>
      </c>
      <c r="AK1304">
        <v>0</v>
      </c>
      <c r="AL1304">
        <v>0</v>
      </c>
      <c r="AO1304" t="s">
        <v>1425</v>
      </c>
      <c r="AP1304">
        <v>0</v>
      </c>
      <c r="AV1304">
        <v>18.95</v>
      </c>
      <c r="AW1304" t="s">
        <v>54</v>
      </c>
    </row>
    <row r="1305" spans="1:49">
      <c r="A1305" s="1">
        <f>HYPERLINK("https://cms.ls-nyc.org/matter/dynamic-profile/view/1899587","19-1899587")</f>
        <v>0</v>
      </c>
      <c r="B1305" t="s">
        <v>78</v>
      </c>
      <c r="C1305" t="s">
        <v>83</v>
      </c>
      <c r="D1305" t="s">
        <v>283</v>
      </c>
      <c r="F1305" t="s">
        <v>1218</v>
      </c>
      <c r="G1305" t="s">
        <v>2300</v>
      </c>
      <c r="H1305" t="s">
        <v>3604</v>
      </c>
      <c r="I1305" t="s">
        <v>4167</v>
      </c>
      <c r="J1305" t="s">
        <v>4222</v>
      </c>
      <c r="K1305">
        <v>11434</v>
      </c>
      <c r="L1305" t="s">
        <v>4275</v>
      </c>
      <c r="M1305" t="s">
        <v>4277</v>
      </c>
      <c r="O1305" t="s">
        <v>4281</v>
      </c>
      <c r="P1305" t="s">
        <v>5456</v>
      </c>
      <c r="Q1305" t="s">
        <v>5731</v>
      </c>
      <c r="R1305" t="s">
        <v>5751</v>
      </c>
      <c r="T1305" t="s">
        <v>4276</v>
      </c>
      <c r="V1305" t="s">
        <v>5767</v>
      </c>
      <c r="Y1305">
        <v>1023</v>
      </c>
      <c r="Z1305" t="s">
        <v>5803</v>
      </c>
      <c r="AC1305" t="s">
        <v>7020</v>
      </c>
      <c r="AE1305" t="s">
        <v>9003</v>
      </c>
      <c r="AF1305">
        <v>77</v>
      </c>
      <c r="AG1305" t="s">
        <v>9271</v>
      </c>
      <c r="AH1305" t="s">
        <v>4280</v>
      </c>
      <c r="AI1305">
        <v>28</v>
      </c>
      <c r="AJ1305">
        <v>1</v>
      </c>
      <c r="AK1305">
        <v>1</v>
      </c>
      <c r="AL1305">
        <v>0</v>
      </c>
      <c r="AO1305" t="s">
        <v>1425</v>
      </c>
      <c r="AP1305">
        <v>0</v>
      </c>
      <c r="AV1305">
        <v>1.65</v>
      </c>
      <c r="AW1305" t="s">
        <v>78</v>
      </c>
    </row>
    <row r="1306" spans="1:49">
      <c r="A1306" s="1">
        <f>HYPERLINK("https://cms.ls-nyc.org/matter/dynamic-profile/view/1896015","19-1896015")</f>
        <v>0</v>
      </c>
      <c r="B1306" t="s">
        <v>78</v>
      </c>
      <c r="C1306" t="s">
        <v>83</v>
      </c>
      <c r="D1306" t="s">
        <v>105</v>
      </c>
      <c r="F1306" t="s">
        <v>1219</v>
      </c>
      <c r="G1306" t="s">
        <v>2301</v>
      </c>
      <c r="H1306" t="s">
        <v>3605</v>
      </c>
      <c r="I1306" t="s">
        <v>3864</v>
      </c>
      <c r="J1306" t="s">
        <v>4222</v>
      </c>
      <c r="K1306">
        <v>11433</v>
      </c>
      <c r="L1306" t="s">
        <v>4275</v>
      </c>
      <c r="M1306" t="s">
        <v>4275</v>
      </c>
      <c r="O1306" t="s">
        <v>4282</v>
      </c>
      <c r="P1306" t="s">
        <v>5457</v>
      </c>
      <c r="Q1306" t="s">
        <v>5741</v>
      </c>
      <c r="R1306" t="s">
        <v>5751</v>
      </c>
      <c r="T1306" t="s">
        <v>4276</v>
      </c>
      <c r="V1306" t="s">
        <v>5767</v>
      </c>
      <c r="W1306" t="s">
        <v>5772</v>
      </c>
      <c r="X1306" t="s">
        <v>94</v>
      </c>
      <c r="Y1306">
        <v>2300</v>
      </c>
      <c r="Z1306" t="s">
        <v>5803</v>
      </c>
      <c r="AA1306" t="s">
        <v>5804</v>
      </c>
      <c r="AC1306" t="s">
        <v>7021</v>
      </c>
      <c r="AE1306" t="s">
        <v>9004</v>
      </c>
      <c r="AF1306">
        <v>0</v>
      </c>
      <c r="AG1306" t="s">
        <v>9269</v>
      </c>
      <c r="AH1306" t="s">
        <v>9282</v>
      </c>
      <c r="AI1306">
        <v>1</v>
      </c>
      <c r="AJ1306">
        <v>2</v>
      </c>
      <c r="AK1306">
        <v>4</v>
      </c>
      <c r="AL1306">
        <v>0</v>
      </c>
      <c r="AO1306" t="s">
        <v>1425</v>
      </c>
      <c r="AP1306">
        <v>0</v>
      </c>
      <c r="AV1306">
        <v>11.4</v>
      </c>
      <c r="AW1306" t="s">
        <v>50</v>
      </c>
    </row>
    <row r="1307" spans="1:49">
      <c r="A1307" s="1">
        <f>HYPERLINK("https://cms.ls-nyc.org/matter/dynamic-profile/view/1891201","19-1891201")</f>
        <v>0</v>
      </c>
      <c r="B1307" t="s">
        <v>78</v>
      </c>
      <c r="C1307" t="s">
        <v>83</v>
      </c>
      <c r="D1307" t="s">
        <v>167</v>
      </c>
      <c r="F1307" t="s">
        <v>1220</v>
      </c>
      <c r="G1307" t="s">
        <v>2302</v>
      </c>
      <c r="H1307" t="s">
        <v>3606</v>
      </c>
      <c r="I1307">
        <v>2</v>
      </c>
      <c r="J1307" t="s">
        <v>4222</v>
      </c>
      <c r="K1307">
        <v>11433</v>
      </c>
      <c r="L1307" t="s">
        <v>4275</v>
      </c>
      <c r="M1307" t="s">
        <v>4275</v>
      </c>
      <c r="O1307" t="s">
        <v>4281</v>
      </c>
      <c r="P1307" t="s">
        <v>5458</v>
      </c>
      <c r="Q1307" t="s">
        <v>5731</v>
      </c>
      <c r="R1307" t="s">
        <v>5751</v>
      </c>
      <c r="V1307" t="s">
        <v>5767</v>
      </c>
      <c r="X1307" t="s">
        <v>167</v>
      </c>
      <c r="Y1307">
        <v>1350</v>
      </c>
      <c r="Z1307" t="s">
        <v>5803</v>
      </c>
      <c r="AA1307" t="s">
        <v>5804</v>
      </c>
      <c r="AC1307" t="s">
        <v>7022</v>
      </c>
      <c r="AD1307" t="s">
        <v>7756</v>
      </c>
      <c r="AE1307" t="s">
        <v>9005</v>
      </c>
      <c r="AF1307">
        <v>4</v>
      </c>
      <c r="AG1307" t="s">
        <v>9269</v>
      </c>
      <c r="AH1307" t="s">
        <v>4280</v>
      </c>
      <c r="AI1307">
        <v>4</v>
      </c>
      <c r="AJ1307">
        <v>1</v>
      </c>
      <c r="AK1307">
        <v>2</v>
      </c>
      <c r="AL1307">
        <v>0</v>
      </c>
      <c r="AO1307" t="s">
        <v>1425</v>
      </c>
      <c r="AP1307">
        <v>0</v>
      </c>
      <c r="AV1307">
        <v>11.45</v>
      </c>
      <c r="AW1307" t="s">
        <v>74</v>
      </c>
    </row>
    <row r="1308" spans="1:49">
      <c r="A1308" s="1">
        <f>HYPERLINK("https://cms.ls-nyc.org/matter/dynamic-profile/view/1888665","19-1888665")</f>
        <v>0</v>
      </c>
      <c r="B1308" t="s">
        <v>78</v>
      </c>
      <c r="C1308" t="s">
        <v>83</v>
      </c>
      <c r="D1308" t="s">
        <v>125</v>
      </c>
      <c r="F1308" t="s">
        <v>1221</v>
      </c>
      <c r="G1308" t="s">
        <v>2303</v>
      </c>
      <c r="H1308" t="s">
        <v>3607</v>
      </c>
      <c r="I1308" t="s">
        <v>4168</v>
      </c>
      <c r="J1308" t="s">
        <v>4223</v>
      </c>
      <c r="K1308">
        <v>11423</v>
      </c>
      <c r="L1308" t="s">
        <v>4275</v>
      </c>
      <c r="M1308" t="s">
        <v>4277</v>
      </c>
      <c r="O1308" t="s">
        <v>4282</v>
      </c>
      <c r="P1308" t="s">
        <v>5459</v>
      </c>
      <c r="Q1308" t="s">
        <v>5731</v>
      </c>
      <c r="R1308" t="s">
        <v>5753</v>
      </c>
      <c r="T1308" t="s">
        <v>4276</v>
      </c>
      <c r="V1308" t="s">
        <v>5767</v>
      </c>
      <c r="Y1308">
        <v>1875</v>
      </c>
      <c r="Z1308" t="s">
        <v>5803</v>
      </c>
      <c r="AA1308" t="s">
        <v>5804</v>
      </c>
      <c r="AC1308" t="s">
        <v>7023</v>
      </c>
      <c r="AE1308" t="s">
        <v>9006</v>
      </c>
      <c r="AF1308">
        <v>2</v>
      </c>
      <c r="AI1308">
        <v>2</v>
      </c>
      <c r="AJ1308">
        <v>1</v>
      </c>
      <c r="AK1308">
        <v>1</v>
      </c>
      <c r="AL1308">
        <v>0</v>
      </c>
      <c r="AO1308" t="s">
        <v>1425</v>
      </c>
      <c r="AP1308">
        <v>0</v>
      </c>
      <c r="AV1308">
        <v>1.3</v>
      </c>
      <c r="AW1308" t="s">
        <v>78</v>
      </c>
    </row>
    <row r="1309" spans="1:49">
      <c r="A1309" s="1">
        <f>HYPERLINK("https://cms.ls-nyc.org/matter/dynamic-profile/view/1873287","18-1873287")</f>
        <v>0</v>
      </c>
      <c r="B1309" t="s">
        <v>78</v>
      </c>
      <c r="C1309" t="s">
        <v>82</v>
      </c>
      <c r="D1309" t="s">
        <v>133</v>
      </c>
      <c r="E1309" t="s">
        <v>314</v>
      </c>
      <c r="F1309" t="s">
        <v>1222</v>
      </c>
      <c r="G1309" t="s">
        <v>2304</v>
      </c>
      <c r="H1309" t="s">
        <v>3608</v>
      </c>
      <c r="I1309" t="s">
        <v>3890</v>
      </c>
      <c r="J1309" t="s">
        <v>4224</v>
      </c>
      <c r="K1309">
        <v>11419</v>
      </c>
      <c r="L1309" t="s">
        <v>4275</v>
      </c>
      <c r="M1309" t="s">
        <v>4275</v>
      </c>
      <c r="O1309" t="s">
        <v>4282</v>
      </c>
      <c r="P1309" t="s">
        <v>5460</v>
      </c>
      <c r="Q1309" t="s">
        <v>5732</v>
      </c>
      <c r="R1309" t="s">
        <v>5753</v>
      </c>
      <c r="S1309" t="s">
        <v>5759</v>
      </c>
      <c r="T1309" t="s">
        <v>4276</v>
      </c>
      <c r="V1309" t="s">
        <v>5767</v>
      </c>
      <c r="W1309" t="s">
        <v>5775</v>
      </c>
      <c r="X1309" t="s">
        <v>133</v>
      </c>
      <c r="Y1309">
        <v>0</v>
      </c>
      <c r="Z1309" t="s">
        <v>5803</v>
      </c>
      <c r="AA1309" t="s">
        <v>5804</v>
      </c>
      <c r="AB1309" t="s">
        <v>5821</v>
      </c>
      <c r="AC1309" t="s">
        <v>7024</v>
      </c>
      <c r="AE1309" t="s">
        <v>9007</v>
      </c>
      <c r="AF1309">
        <v>8</v>
      </c>
      <c r="AG1309" t="s">
        <v>9269</v>
      </c>
      <c r="AH1309" t="s">
        <v>4280</v>
      </c>
      <c r="AI1309">
        <v>4</v>
      </c>
      <c r="AJ1309">
        <v>1</v>
      </c>
      <c r="AK1309">
        <v>0</v>
      </c>
      <c r="AL1309">
        <v>0</v>
      </c>
      <c r="AO1309" t="s">
        <v>1425</v>
      </c>
      <c r="AP1309">
        <v>0</v>
      </c>
      <c r="AV1309">
        <v>1.1</v>
      </c>
      <c r="AW1309" t="s">
        <v>73</v>
      </c>
    </row>
    <row r="1310" spans="1:49">
      <c r="A1310" s="1">
        <f>HYPERLINK("https://cms.ls-nyc.org/matter/dynamic-profile/view/1900051","19-1900051")</f>
        <v>0</v>
      </c>
      <c r="B1310" t="s">
        <v>78</v>
      </c>
      <c r="C1310" t="s">
        <v>83</v>
      </c>
      <c r="D1310" t="s">
        <v>99</v>
      </c>
      <c r="F1310" t="s">
        <v>1223</v>
      </c>
      <c r="G1310" t="s">
        <v>2305</v>
      </c>
      <c r="H1310" t="s">
        <v>3609</v>
      </c>
      <c r="I1310" t="s">
        <v>3878</v>
      </c>
      <c r="J1310" t="s">
        <v>4236</v>
      </c>
      <c r="K1310">
        <v>11417</v>
      </c>
      <c r="L1310" t="s">
        <v>4275</v>
      </c>
      <c r="M1310" t="s">
        <v>4277</v>
      </c>
      <c r="N1310" t="s">
        <v>4278</v>
      </c>
      <c r="O1310" t="s">
        <v>4282</v>
      </c>
      <c r="P1310" t="s">
        <v>5461</v>
      </c>
      <c r="Q1310" t="s">
        <v>5732</v>
      </c>
      <c r="R1310" t="s">
        <v>5754</v>
      </c>
      <c r="T1310" t="s">
        <v>4276</v>
      </c>
      <c r="V1310" t="s">
        <v>5767</v>
      </c>
      <c r="Y1310">
        <v>1150</v>
      </c>
      <c r="Z1310" t="s">
        <v>5803</v>
      </c>
      <c r="AA1310" t="s">
        <v>5804</v>
      </c>
      <c r="AC1310" t="s">
        <v>7025</v>
      </c>
      <c r="AE1310" t="s">
        <v>9008</v>
      </c>
      <c r="AF1310">
        <v>1</v>
      </c>
      <c r="AG1310" t="s">
        <v>9269</v>
      </c>
      <c r="AH1310" t="s">
        <v>4280</v>
      </c>
      <c r="AI1310">
        <v>4</v>
      </c>
      <c r="AJ1310">
        <v>1</v>
      </c>
      <c r="AK1310">
        <v>0</v>
      </c>
      <c r="AL1310">
        <v>0</v>
      </c>
      <c r="AO1310" t="s">
        <v>1425</v>
      </c>
      <c r="AP1310">
        <v>0</v>
      </c>
      <c r="AV1310">
        <v>2.05</v>
      </c>
      <c r="AW1310" t="s">
        <v>9549</v>
      </c>
    </row>
    <row r="1311" spans="1:49">
      <c r="A1311" s="1">
        <f>HYPERLINK("https://cms.ls-nyc.org/matter/dynamic-profile/view/1886933","19-1886933")</f>
        <v>0</v>
      </c>
      <c r="B1311" t="s">
        <v>78</v>
      </c>
      <c r="C1311" t="s">
        <v>83</v>
      </c>
      <c r="D1311" t="s">
        <v>193</v>
      </c>
      <c r="F1311" t="s">
        <v>1224</v>
      </c>
      <c r="G1311" t="s">
        <v>2306</v>
      </c>
      <c r="H1311" t="s">
        <v>3610</v>
      </c>
      <c r="I1311" t="s">
        <v>3866</v>
      </c>
      <c r="J1311" t="s">
        <v>4250</v>
      </c>
      <c r="K1311">
        <v>11412</v>
      </c>
      <c r="L1311" t="s">
        <v>4275</v>
      </c>
      <c r="M1311" t="s">
        <v>4275</v>
      </c>
      <c r="O1311" t="s">
        <v>4282</v>
      </c>
      <c r="P1311" t="s">
        <v>5462</v>
      </c>
      <c r="Q1311" t="s">
        <v>5732</v>
      </c>
      <c r="R1311" t="s">
        <v>5753</v>
      </c>
      <c r="T1311" t="s">
        <v>4276</v>
      </c>
      <c r="V1311" t="s">
        <v>5767</v>
      </c>
      <c r="W1311" t="s">
        <v>5772</v>
      </c>
      <c r="Y1311">
        <v>600</v>
      </c>
      <c r="Z1311" t="s">
        <v>5803</v>
      </c>
      <c r="AA1311" t="s">
        <v>5804</v>
      </c>
      <c r="AC1311" t="s">
        <v>7026</v>
      </c>
      <c r="AD1311" t="s">
        <v>7757</v>
      </c>
      <c r="AE1311" t="s">
        <v>9009</v>
      </c>
      <c r="AF1311">
        <v>0</v>
      </c>
      <c r="AG1311" t="s">
        <v>9270</v>
      </c>
      <c r="AH1311" t="s">
        <v>4280</v>
      </c>
      <c r="AI1311">
        <v>1</v>
      </c>
      <c r="AJ1311">
        <v>1</v>
      </c>
      <c r="AK1311">
        <v>0</v>
      </c>
      <c r="AL1311">
        <v>0</v>
      </c>
      <c r="AO1311" t="s">
        <v>1425</v>
      </c>
      <c r="AP1311">
        <v>0</v>
      </c>
      <c r="AV1311">
        <v>0.8</v>
      </c>
      <c r="AW1311" t="s">
        <v>54</v>
      </c>
    </row>
    <row r="1312" spans="1:49">
      <c r="A1312" s="1">
        <f>HYPERLINK("https://cms.ls-nyc.org/matter/dynamic-profile/view/1877433","18-1877433")</f>
        <v>0</v>
      </c>
      <c r="B1312" t="s">
        <v>78</v>
      </c>
      <c r="C1312" t="s">
        <v>83</v>
      </c>
      <c r="D1312" t="s">
        <v>181</v>
      </c>
      <c r="F1312" t="s">
        <v>1225</v>
      </c>
      <c r="G1312" t="s">
        <v>1610</v>
      </c>
      <c r="H1312" t="s">
        <v>3611</v>
      </c>
      <c r="I1312" t="s">
        <v>3856</v>
      </c>
      <c r="J1312" t="s">
        <v>4225</v>
      </c>
      <c r="K1312">
        <v>11385</v>
      </c>
      <c r="L1312" t="s">
        <v>4275</v>
      </c>
      <c r="M1312" t="s">
        <v>4275</v>
      </c>
      <c r="O1312" t="s">
        <v>4281</v>
      </c>
      <c r="P1312" t="s">
        <v>5463</v>
      </c>
      <c r="Q1312" t="s">
        <v>5732</v>
      </c>
      <c r="R1312" t="s">
        <v>5751</v>
      </c>
      <c r="T1312" t="s">
        <v>4276</v>
      </c>
      <c r="V1312" t="s">
        <v>5767</v>
      </c>
      <c r="W1312" t="s">
        <v>5772</v>
      </c>
      <c r="X1312" t="s">
        <v>180</v>
      </c>
      <c r="Y1312">
        <v>1300</v>
      </c>
      <c r="Z1312" t="s">
        <v>5803</v>
      </c>
      <c r="AA1312" t="s">
        <v>5804</v>
      </c>
      <c r="AB1312" t="s">
        <v>5821</v>
      </c>
      <c r="AC1312" t="s">
        <v>7027</v>
      </c>
      <c r="AE1312" t="s">
        <v>9010</v>
      </c>
      <c r="AF1312">
        <v>4</v>
      </c>
      <c r="AG1312" t="s">
        <v>9269</v>
      </c>
      <c r="AH1312" t="s">
        <v>4280</v>
      </c>
      <c r="AI1312">
        <v>15</v>
      </c>
      <c r="AJ1312">
        <v>1</v>
      </c>
      <c r="AK1312">
        <v>2</v>
      </c>
      <c r="AL1312">
        <v>0</v>
      </c>
      <c r="AO1312" t="s">
        <v>1425</v>
      </c>
      <c r="AP1312">
        <v>0</v>
      </c>
      <c r="AR1312" t="s">
        <v>9326</v>
      </c>
      <c r="AT1312" t="s">
        <v>9370</v>
      </c>
      <c r="AU1312" t="s">
        <v>9528</v>
      </c>
      <c r="AV1312">
        <v>17.24</v>
      </c>
      <c r="AW1312" t="s">
        <v>73</v>
      </c>
    </row>
    <row r="1313" spans="1:49">
      <c r="A1313" s="1">
        <f>HYPERLINK("https://cms.ls-nyc.org/matter/dynamic-profile/view/1900069","19-1900069")</f>
        <v>0</v>
      </c>
      <c r="B1313" t="s">
        <v>78</v>
      </c>
      <c r="C1313" t="s">
        <v>83</v>
      </c>
      <c r="D1313" t="s">
        <v>216</v>
      </c>
      <c r="F1313" t="s">
        <v>1226</v>
      </c>
      <c r="G1313" t="s">
        <v>2307</v>
      </c>
      <c r="H1313" t="s">
        <v>3612</v>
      </c>
      <c r="I1313" t="s">
        <v>3978</v>
      </c>
      <c r="J1313" t="s">
        <v>4225</v>
      </c>
      <c r="K1313">
        <v>11385</v>
      </c>
      <c r="L1313" t="s">
        <v>4277</v>
      </c>
      <c r="M1313" t="s">
        <v>4277</v>
      </c>
      <c r="O1313" t="s">
        <v>4283</v>
      </c>
      <c r="Q1313" t="s">
        <v>5733</v>
      </c>
      <c r="R1313" t="s">
        <v>5751</v>
      </c>
      <c r="T1313" t="s">
        <v>4276</v>
      </c>
      <c r="V1313" t="s">
        <v>5767</v>
      </c>
      <c r="W1313" t="s">
        <v>5772</v>
      </c>
      <c r="Y1313">
        <v>204</v>
      </c>
      <c r="Z1313" t="s">
        <v>5803</v>
      </c>
      <c r="AA1313" t="s">
        <v>5807</v>
      </c>
      <c r="AC1313" t="s">
        <v>7028</v>
      </c>
      <c r="AE1313" t="s">
        <v>9011</v>
      </c>
      <c r="AF1313">
        <v>0</v>
      </c>
      <c r="AG1313" t="s">
        <v>9274</v>
      </c>
      <c r="AI1313">
        <v>52</v>
      </c>
      <c r="AJ1313">
        <v>2</v>
      </c>
      <c r="AK1313">
        <v>1</v>
      </c>
      <c r="AL1313">
        <v>0</v>
      </c>
      <c r="AO1313" t="s">
        <v>1425</v>
      </c>
      <c r="AP1313">
        <v>0</v>
      </c>
      <c r="AV1313">
        <v>11.57</v>
      </c>
      <c r="AW1313" t="s">
        <v>78</v>
      </c>
    </row>
    <row r="1314" spans="1:49">
      <c r="A1314" s="1">
        <f>HYPERLINK("https://cms.ls-nyc.org/matter/dynamic-profile/view/1890186","19-1890186")</f>
        <v>0</v>
      </c>
      <c r="B1314" t="s">
        <v>78</v>
      </c>
      <c r="C1314" t="s">
        <v>83</v>
      </c>
      <c r="D1314" t="s">
        <v>236</v>
      </c>
      <c r="F1314" t="s">
        <v>1226</v>
      </c>
      <c r="G1314" t="s">
        <v>2307</v>
      </c>
      <c r="H1314" t="s">
        <v>3612</v>
      </c>
      <c r="I1314" t="s">
        <v>3978</v>
      </c>
      <c r="J1314" t="s">
        <v>4225</v>
      </c>
      <c r="K1314">
        <v>11385</v>
      </c>
      <c r="L1314" t="s">
        <v>4275</v>
      </c>
      <c r="M1314" t="s">
        <v>4275</v>
      </c>
      <c r="O1314" t="s">
        <v>4281</v>
      </c>
      <c r="P1314" t="s">
        <v>5464</v>
      </c>
      <c r="Q1314" t="s">
        <v>5731</v>
      </c>
      <c r="R1314" t="s">
        <v>5751</v>
      </c>
      <c r="T1314" t="s">
        <v>4276</v>
      </c>
      <c r="V1314" t="s">
        <v>5767</v>
      </c>
      <c r="W1314" t="s">
        <v>5771</v>
      </c>
      <c r="Y1314">
        <v>204</v>
      </c>
      <c r="Z1314" t="s">
        <v>5803</v>
      </c>
      <c r="AA1314" t="s">
        <v>5807</v>
      </c>
      <c r="AC1314" t="s">
        <v>7028</v>
      </c>
      <c r="AE1314" t="s">
        <v>9011</v>
      </c>
      <c r="AF1314">
        <v>0</v>
      </c>
      <c r="AG1314" t="s">
        <v>9274</v>
      </c>
      <c r="AH1314" t="s">
        <v>4280</v>
      </c>
      <c r="AI1314">
        <v>52</v>
      </c>
      <c r="AJ1314">
        <v>2</v>
      </c>
      <c r="AK1314">
        <v>1</v>
      </c>
      <c r="AL1314">
        <v>0</v>
      </c>
      <c r="AO1314" t="s">
        <v>1425</v>
      </c>
      <c r="AP1314">
        <v>0</v>
      </c>
      <c r="AV1314">
        <v>34.32</v>
      </c>
      <c r="AW1314" t="s">
        <v>78</v>
      </c>
    </row>
    <row r="1315" spans="1:49">
      <c r="A1315" s="1">
        <f>HYPERLINK("https://cms.ls-nyc.org/matter/dynamic-profile/view/1893739","19-1893739")</f>
        <v>0</v>
      </c>
      <c r="B1315" t="s">
        <v>78</v>
      </c>
      <c r="C1315" t="s">
        <v>83</v>
      </c>
      <c r="D1315" t="s">
        <v>179</v>
      </c>
      <c r="F1315" t="s">
        <v>337</v>
      </c>
      <c r="G1315" t="s">
        <v>2308</v>
      </c>
      <c r="H1315" t="s">
        <v>3613</v>
      </c>
      <c r="I1315" t="s">
        <v>4169</v>
      </c>
      <c r="J1315" t="s">
        <v>4261</v>
      </c>
      <c r="K1315">
        <v>11360</v>
      </c>
      <c r="L1315" t="s">
        <v>4275</v>
      </c>
      <c r="M1315" t="s">
        <v>4275</v>
      </c>
      <c r="O1315" t="s">
        <v>4282</v>
      </c>
      <c r="P1315" t="s">
        <v>5465</v>
      </c>
      <c r="Q1315" t="s">
        <v>5731</v>
      </c>
      <c r="R1315" t="s">
        <v>5753</v>
      </c>
      <c r="T1315" t="s">
        <v>4276</v>
      </c>
      <c r="V1315" t="s">
        <v>5767</v>
      </c>
      <c r="X1315" t="s">
        <v>179</v>
      </c>
      <c r="Y1315">
        <v>2475</v>
      </c>
      <c r="Z1315" t="s">
        <v>5803</v>
      </c>
      <c r="AA1315" t="s">
        <v>5804</v>
      </c>
      <c r="AC1315" t="s">
        <v>7029</v>
      </c>
      <c r="AD1315" t="s">
        <v>7758</v>
      </c>
      <c r="AE1315" t="s">
        <v>9012</v>
      </c>
      <c r="AF1315">
        <v>300</v>
      </c>
      <c r="AG1315" t="s">
        <v>9270</v>
      </c>
      <c r="AH1315" t="s">
        <v>4280</v>
      </c>
      <c r="AI1315">
        <v>9</v>
      </c>
      <c r="AJ1315">
        <v>1</v>
      </c>
      <c r="AK1315">
        <v>0</v>
      </c>
      <c r="AL1315">
        <v>0</v>
      </c>
      <c r="AO1315" t="s">
        <v>1425</v>
      </c>
      <c r="AP1315">
        <v>0</v>
      </c>
      <c r="AV1315">
        <v>1.9</v>
      </c>
      <c r="AW1315" t="s">
        <v>54</v>
      </c>
    </row>
    <row r="1316" spans="1:49">
      <c r="A1316" s="1">
        <f>HYPERLINK("https://cms.ls-nyc.org/matter/dynamic-profile/view/1877597","18-1877597")</f>
        <v>0</v>
      </c>
      <c r="B1316" t="s">
        <v>78</v>
      </c>
      <c r="C1316" t="s">
        <v>83</v>
      </c>
      <c r="D1316" t="s">
        <v>180</v>
      </c>
      <c r="F1316" t="s">
        <v>386</v>
      </c>
      <c r="G1316" t="s">
        <v>2309</v>
      </c>
      <c r="H1316" t="s">
        <v>3614</v>
      </c>
      <c r="I1316">
        <v>402</v>
      </c>
      <c r="J1316" t="s">
        <v>4229</v>
      </c>
      <c r="K1316">
        <v>11355</v>
      </c>
      <c r="L1316" t="s">
        <v>4275</v>
      </c>
      <c r="M1316" t="s">
        <v>4275</v>
      </c>
      <c r="O1316" t="s">
        <v>4282</v>
      </c>
      <c r="P1316" t="s">
        <v>5466</v>
      </c>
      <c r="Q1316" t="s">
        <v>5731</v>
      </c>
      <c r="R1316" t="s">
        <v>5751</v>
      </c>
      <c r="T1316" t="s">
        <v>4276</v>
      </c>
      <c r="V1316" t="s">
        <v>5767</v>
      </c>
      <c r="W1316" t="s">
        <v>5775</v>
      </c>
      <c r="X1316" t="s">
        <v>242</v>
      </c>
      <c r="Y1316">
        <v>333.05</v>
      </c>
      <c r="Z1316" t="s">
        <v>5803</v>
      </c>
      <c r="AA1316" t="s">
        <v>5804</v>
      </c>
      <c r="AC1316" t="s">
        <v>7030</v>
      </c>
      <c r="AE1316" t="s">
        <v>9013</v>
      </c>
      <c r="AF1316">
        <v>49</v>
      </c>
      <c r="AG1316" t="s">
        <v>9272</v>
      </c>
      <c r="AH1316" t="s">
        <v>9287</v>
      </c>
      <c r="AI1316">
        <v>40</v>
      </c>
      <c r="AJ1316">
        <v>1</v>
      </c>
      <c r="AK1316">
        <v>0</v>
      </c>
      <c r="AL1316">
        <v>0</v>
      </c>
      <c r="AO1316" t="s">
        <v>1425</v>
      </c>
      <c r="AP1316">
        <v>0</v>
      </c>
      <c r="AV1316">
        <v>26.1</v>
      </c>
      <c r="AW1316" t="s">
        <v>73</v>
      </c>
    </row>
    <row r="1317" spans="1:49">
      <c r="A1317" s="1">
        <f>HYPERLINK("https://cms.ls-nyc.org/matter/dynamic-profile/view/1894558","19-1894558")</f>
        <v>0</v>
      </c>
      <c r="B1317" t="s">
        <v>78</v>
      </c>
      <c r="C1317" t="s">
        <v>83</v>
      </c>
      <c r="D1317" t="s">
        <v>169</v>
      </c>
      <c r="F1317" t="s">
        <v>1227</v>
      </c>
      <c r="G1317" t="s">
        <v>2310</v>
      </c>
      <c r="H1317" t="s">
        <v>3615</v>
      </c>
      <c r="J1317" t="s">
        <v>4229</v>
      </c>
      <c r="K1317">
        <v>11355</v>
      </c>
      <c r="L1317" t="s">
        <v>4275</v>
      </c>
      <c r="M1317" t="s">
        <v>4275</v>
      </c>
      <c r="O1317" t="s">
        <v>4282</v>
      </c>
      <c r="P1317" t="s">
        <v>5467</v>
      </c>
      <c r="Q1317" t="s">
        <v>5731</v>
      </c>
      <c r="R1317" t="s">
        <v>5752</v>
      </c>
      <c r="T1317" t="s">
        <v>4275</v>
      </c>
      <c r="V1317" t="s">
        <v>5767</v>
      </c>
      <c r="Y1317">
        <v>2050</v>
      </c>
      <c r="Z1317" t="s">
        <v>5803</v>
      </c>
      <c r="AA1317" t="s">
        <v>5804</v>
      </c>
      <c r="AC1317" t="s">
        <v>7031</v>
      </c>
      <c r="AF1317">
        <v>60</v>
      </c>
      <c r="AI1317">
        <v>2</v>
      </c>
      <c r="AJ1317">
        <v>2</v>
      </c>
      <c r="AK1317">
        <v>0</v>
      </c>
      <c r="AL1317">
        <v>0</v>
      </c>
      <c r="AO1317" t="s">
        <v>9318</v>
      </c>
      <c r="AP1317">
        <v>0</v>
      </c>
      <c r="AV1317">
        <v>2</v>
      </c>
      <c r="AW1317" t="s">
        <v>9547</v>
      </c>
    </row>
    <row r="1318" spans="1:49">
      <c r="A1318" s="1">
        <f>HYPERLINK("https://cms.ls-nyc.org/matter/dynamic-profile/view/1878841","18-1878841")</f>
        <v>0</v>
      </c>
      <c r="B1318" t="s">
        <v>78</v>
      </c>
      <c r="C1318" t="s">
        <v>83</v>
      </c>
      <c r="D1318" t="s">
        <v>215</v>
      </c>
      <c r="F1318" t="s">
        <v>339</v>
      </c>
      <c r="G1318" t="s">
        <v>2311</v>
      </c>
      <c r="H1318" t="s">
        <v>3616</v>
      </c>
      <c r="J1318" t="s">
        <v>4234</v>
      </c>
      <c r="K1318">
        <v>11106</v>
      </c>
      <c r="L1318" t="s">
        <v>4275</v>
      </c>
      <c r="M1318" t="s">
        <v>4275</v>
      </c>
      <c r="O1318" t="s">
        <v>4282</v>
      </c>
      <c r="P1318" t="s">
        <v>5468</v>
      </c>
      <c r="Q1318" t="s">
        <v>5732</v>
      </c>
      <c r="R1318" t="s">
        <v>5753</v>
      </c>
      <c r="T1318" t="s">
        <v>4276</v>
      </c>
      <c r="V1318" t="s">
        <v>5767</v>
      </c>
      <c r="W1318" t="s">
        <v>5772</v>
      </c>
      <c r="X1318" t="s">
        <v>279</v>
      </c>
      <c r="Y1318">
        <v>600</v>
      </c>
      <c r="Z1318" t="s">
        <v>5803</v>
      </c>
      <c r="AA1318" t="s">
        <v>5804</v>
      </c>
      <c r="AC1318" t="s">
        <v>7032</v>
      </c>
      <c r="AF1318">
        <v>8</v>
      </c>
      <c r="AG1318" t="s">
        <v>9272</v>
      </c>
      <c r="AH1318" t="s">
        <v>4280</v>
      </c>
      <c r="AI1318">
        <v>1</v>
      </c>
      <c r="AJ1318">
        <v>1</v>
      </c>
      <c r="AK1318">
        <v>0</v>
      </c>
      <c r="AL1318">
        <v>0</v>
      </c>
      <c r="AO1318" t="s">
        <v>1425</v>
      </c>
      <c r="AP1318">
        <v>0</v>
      </c>
      <c r="AV1318">
        <v>1.4</v>
      </c>
      <c r="AW1318" t="s">
        <v>78</v>
      </c>
    </row>
    <row r="1319" spans="1:49">
      <c r="A1319" s="1">
        <f>HYPERLINK("https://cms.ls-nyc.org/matter/dynamic-profile/view/1896539","19-1896539")</f>
        <v>0</v>
      </c>
      <c r="B1319" t="s">
        <v>78</v>
      </c>
      <c r="C1319" t="s">
        <v>83</v>
      </c>
      <c r="D1319" t="s">
        <v>248</v>
      </c>
      <c r="F1319" t="s">
        <v>1228</v>
      </c>
      <c r="G1319" t="s">
        <v>2312</v>
      </c>
      <c r="H1319" t="s">
        <v>3617</v>
      </c>
      <c r="I1319" t="s">
        <v>3864</v>
      </c>
      <c r="J1319" t="s">
        <v>4234</v>
      </c>
      <c r="K1319">
        <v>11103</v>
      </c>
      <c r="L1319" t="s">
        <v>4275</v>
      </c>
      <c r="M1319" t="s">
        <v>4276</v>
      </c>
      <c r="O1319" t="s">
        <v>4283</v>
      </c>
      <c r="P1319" t="s">
        <v>5469</v>
      </c>
      <c r="Q1319" t="s">
        <v>5732</v>
      </c>
      <c r="R1319" t="s">
        <v>5754</v>
      </c>
      <c r="T1319" t="s">
        <v>4276</v>
      </c>
      <c r="V1319" t="s">
        <v>5767</v>
      </c>
      <c r="W1319" t="s">
        <v>5772</v>
      </c>
      <c r="Y1319">
        <v>1750</v>
      </c>
      <c r="Z1319" t="s">
        <v>5803</v>
      </c>
      <c r="AA1319" t="s">
        <v>5804</v>
      </c>
      <c r="AC1319" t="s">
        <v>6762</v>
      </c>
      <c r="AE1319" t="s">
        <v>9014</v>
      </c>
      <c r="AF1319">
        <v>2</v>
      </c>
      <c r="AG1319" t="s">
        <v>9269</v>
      </c>
      <c r="AI1319">
        <v>1</v>
      </c>
      <c r="AJ1319">
        <v>1</v>
      </c>
      <c r="AK1319">
        <v>2</v>
      </c>
      <c r="AL1319">
        <v>0</v>
      </c>
      <c r="AO1319" t="s">
        <v>9306</v>
      </c>
      <c r="AP1319">
        <v>0</v>
      </c>
      <c r="AV1319">
        <v>2.15</v>
      </c>
      <c r="AW1319" t="s">
        <v>78</v>
      </c>
    </row>
    <row r="1320" spans="1:49">
      <c r="A1320" s="1">
        <f>HYPERLINK("https://cms.ls-nyc.org/matter/dynamic-profile/view/1897317","19-1897317")</f>
        <v>0</v>
      </c>
      <c r="B1320" t="s">
        <v>78</v>
      </c>
      <c r="C1320" t="s">
        <v>83</v>
      </c>
      <c r="D1320" t="s">
        <v>106</v>
      </c>
      <c r="F1320" t="s">
        <v>438</v>
      </c>
      <c r="G1320" t="s">
        <v>2313</v>
      </c>
      <c r="H1320" t="s">
        <v>3618</v>
      </c>
      <c r="I1320" t="s">
        <v>3937</v>
      </c>
      <c r="J1320" t="s">
        <v>4234</v>
      </c>
      <c r="K1320">
        <v>11102</v>
      </c>
      <c r="L1320" t="s">
        <v>4275</v>
      </c>
      <c r="M1320" t="s">
        <v>4275</v>
      </c>
      <c r="O1320" t="s">
        <v>4282</v>
      </c>
      <c r="P1320" t="s">
        <v>5470</v>
      </c>
      <c r="Q1320" t="s">
        <v>5731</v>
      </c>
      <c r="R1320" t="s">
        <v>5753</v>
      </c>
      <c r="T1320" t="s">
        <v>4276</v>
      </c>
      <c r="V1320" t="s">
        <v>5768</v>
      </c>
      <c r="X1320" t="s">
        <v>106</v>
      </c>
      <c r="Y1320">
        <v>830</v>
      </c>
      <c r="Z1320" t="s">
        <v>5803</v>
      </c>
      <c r="AA1320" t="s">
        <v>5804</v>
      </c>
      <c r="AC1320" t="s">
        <v>7033</v>
      </c>
      <c r="AE1320" t="s">
        <v>7289</v>
      </c>
      <c r="AF1320">
        <v>0</v>
      </c>
      <c r="AG1320" t="s">
        <v>9271</v>
      </c>
      <c r="AH1320" t="s">
        <v>4280</v>
      </c>
      <c r="AI1320">
        <v>13</v>
      </c>
      <c r="AJ1320">
        <v>2</v>
      </c>
      <c r="AK1320">
        <v>0</v>
      </c>
      <c r="AL1320">
        <v>0</v>
      </c>
      <c r="AO1320" t="s">
        <v>9298</v>
      </c>
      <c r="AP1320">
        <v>0</v>
      </c>
      <c r="AV1320">
        <v>1.6</v>
      </c>
      <c r="AW1320" t="s">
        <v>54</v>
      </c>
    </row>
    <row r="1321" spans="1:49">
      <c r="A1321" s="1">
        <f>HYPERLINK("https://cms.ls-nyc.org/matter/dynamic-profile/view/1873975","18-1873975")</f>
        <v>0</v>
      </c>
      <c r="B1321" t="s">
        <v>78</v>
      </c>
      <c r="C1321" t="s">
        <v>82</v>
      </c>
      <c r="D1321" t="s">
        <v>131</v>
      </c>
      <c r="E1321" t="s">
        <v>265</v>
      </c>
      <c r="F1321" t="s">
        <v>321</v>
      </c>
      <c r="G1321" t="s">
        <v>1677</v>
      </c>
      <c r="H1321" t="s">
        <v>2612</v>
      </c>
      <c r="I1321" t="s">
        <v>3899</v>
      </c>
      <c r="J1321" t="s">
        <v>4230</v>
      </c>
      <c r="K1321">
        <v>11101</v>
      </c>
      <c r="L1321" t="s">
        <v>4275</v>
      </c>
      <c r="M1321" t="s">
        <v>4275</v>
      </c>
      <c r="O1321" t="s">
        <v>4283</v>
      </c>
      <c r="P1321" t="s">
        <v>5471</v>
      </c>
      <c r="Q1321" t="s">
        <v>5732</v>
      </c>
      <c r="R1321" t="s">
        <v>5753</v>
      </c>
      <c r="S1321" t="s">
        <v>5759</v>
      </c>
      <c r="T1321" t="s">
        <v>4276</v>
      </c>
      <c r="V1321" t="s">
        <v>5767</v>
      </c>
      <c r="W1321" t="s">
        <v>5772</v>
      </c>
      <c r="X1321" t="s">
        <v>131</v>
      </c>
      <c r="Y1321">
        <v>652</v>
      </c>
      <c r="Z1321" t="s">
        <v>5803</v>
      </c>
      <c r="AA1321" t="s">
        <v>5804</v>
      </c>
      <c r="AB1321" t="s">
        <v>5821</v>
      </c>
      <c r="AC1321" t="s">
        <v>7034</v>
      </c>
      <c r="AD1321" t="s">
        <v>7289</v>
      </c>
      <c r="AE1321" t="s">
        <v>9015</v>
      </c>
      <c r="AF1321">
        <v>306</v>
      </c>
      <c r="AG1321" t="s">
        <v>9276</v>
      </c>
      <c r="AH1321" t="s">
        <v>4280</v>
      </c>
      <c r="AI1321">
        <v>1</v>
      </c>
      <c r="AJ1321">
        <v>1</v>
      </c>
      <c r="AK1321">
        <v>0</v>
      </c>
      <c r="AL1321">
        <v>0</v>
      </c>
      <c r="AO1321" t="s">
        <v>1425</v>
      </c>
      <c r="AP1321">
        <v>0</v>
      </c>
      <c r="AV1321">
        <v>1</v>
      </c>
      <c r="AW1321" t="s">
        <v>73</v>
      </c>
    </row>
    <row r="1322" spans="1:49">
      <c r="A1322" s="1">
        <f>HYPERLINK("https://cms.ls-nyc.org/matter/dynamic-profile/view/1887621","19-1887621")</f>
        <v>0</v>
      </c>
      <c r="B1322" t="s">
        <v>78</v>
      </c>
      <c r="C1322" t="s">
        <v>83</v>
      </c>
      <c r="D1322" t="s">
        <v>136</v>
      </c>
      <c r="F1322" t="s">
        <v>1229</v>
      </c>
      <c r="G1322" t="s">
        <v>2314</v>
      </c>
      <c r="H1322" t="s">
        <v>3619</v>
      </c>
      <c r="I1322" t="s">
        <v>3926</v>
      </c>
      <c r="J1322" t="s">
        <v>4234</v>
      </c>
      <c r="K1322">
        <v>11106</v>
      </c>
      <c r="L1322" t="s">
        <v>4275</v>
      </c>
      <c r="M1322" t="s">
        <v>4275</v>
      </c>
      <c r="O1322" t="s">
        <v>4282</v>
      </c>
      <c r="P1322" t="s">
        <v>5472</v>
      </c>
      <c r="Q1322" t="s">
        <v>5731</v>
      </c>
      <c r="R1322" t="s">
        <v>5753</v>
      </c>
      <c r="T1322" t="s">
        <v>4276</v>
      </c>
      <c r="V1322" t="s">
        <v>5767</v>
      </c>
      <c r="W1322" t="s">
        <v>5771</v>
      </c>
      <c r="X1322" t="s">
        <v>136</v>
      </c>
      <c r="Y1322">
        <v>242</v>
      </c>
      <c r="Z1322" t="s">
        <v>5803</v>
      </c>
      <c r="AA1322" t="s">
        <v>5804</v>
      </c>
      <c r="AC1322" t="s">
        <v>7035</v>
      </c>
      <c r="AD1322" t="s">
        <v>7759</v>
      </c>
      <c r="AE1322" t="s">
        <v>9016</v>
      </c>
      <c r="AF1322">
        <v>48</v>
      </c>
      <c r="AG1322" t="s">
        <v>9271</v>
      </c>
      <c r="AH1322" t="s">
        <v>4280</v>
      </c>
      <c r="AI1322">
        <v>14</v>
      </c>
      <c r="AJ1322">
        <v>1</v>
      </c>
      <c r="AK1322">
        <v>2</v>
      </c>
      <c r="AL1322">
        <v>3.46</v>
      </c>
      <c r="AO1322" t="s">
        <v>1425</v>
      </c>
      <c r="AP1322">
        <v>720</v>
      </c>
      <c r="AV1322">
        <v>1.3</v>
      </c>
      <c r="AW1322" t="s">
        <v>73</v>
      </c>
    </row>
    <row r="1323" spans="1:49">
      <c r="A1323" s="1">
        <f>HYPERLINK("https://cms.ls-nyc.org/matter/dynamic-profile/view/1881917","18-1881917")</f>
        <v>0</v>
      </c>
      <c r="B1323" t="s">
        <v>78</v>
      </c>
      <c r="C1323" t="s">
        <v>83</v>
      </c>
      <c r="D1323" t="s">
        <v>170</v>
      </c>
      <c r="F1323" t="s">
        <v>1230</v>
      </c>
      <c r="G1323" t="s">
        <v>2315</v>
      </c>
      <c r="H1323" t="s">
        <v>3620</v>
      </c>
      <c r="I1323" t="s">
        <v>3864</v>
      </c>
      <c r="J1323" t="s">
        <v>4253</v>
      </c>
      <c r="K1323">
        <v>11422</v>
      </c>
      <c r="L1323" t="s">
        <v>4275</v>
      </c>
      <c r="M1323" t="s">
        <v>4275</v>
      </c>
      <c r="O1323" t="s">
        <v>4282</v>
      </c>
      <c r="P1323" t="s">
        <v>5473</v>
      </c>
      <c r="Q1323" t="s">
        <v>5732</v>
      </c>
      <c r="R1323" t="s">
        <v>5751</v>
      </c>
      <c r="T1323" t="s">
        <v>4276</v>
      </c>
      <c r="V1323" t="s">
        <v>5767</v>
      </c>
      <c r="W1323" t="s">
        <v>5772</v>
      </c>
      <c r="X1323" t="s">
        <v>170</v>
      </c>
      <c r="Y1323">
        <v>1019</v>
      </c>
      <c r="Z1323" t="s">
        <v>5803</v>
      </c>
      <c r="AA1323" t="s">
        <v>5804</v>
      </c>
      <c r="AC1323" t="s">
        <v>7036</v>
      </c>
      <c r="AD1323" t="s">
        <v>7760</v>
      </c>
      <c r="AE1323" t="s">
        <v>9017</v>
      </c>
      <c r="AF1323">
        <v>2</v>
      </c>
      <c r="AG1323" t="s">
        <v>9277</v>
      </c>
      <c r="AH1323" t="s">
        <v>5806</v>
      </c>
      <c r="AI1323">
        <v>3</v>
      </c>
      <c r="AJ1323">
        <v>1</v>
      </c>
      <c r="AK1323">
        <v>0</v>
      </c>
      <c r="AL1323">
        <v>14.73</v>
      </c>
      <c r="AO1323" t="s">
        <v>1425</v>
      </c>
      <c r="AP1323">
        <v>1788</v>
      </c>
      <c r="AV1323">
        <v>68.7</v>
      </c>
      <c r="AW1323" t="s">
        <v>73</v>
      </c>
    </row>
    <row r="1324" spans="1:49">
      <c r="A1324" s="1">
        <f>HYPERLINK("https://cms.ls-nyc.org/matter/dynamic-profile/view/1873882","18-1873882")</f>
        <v>0</v>
      </c>
      <c r="B1324" t="s">
        <v>78</v>
      </c>
      <c r="C1324" t="s">
        <v>83</v>
      </c>
      <c r="D1324" t="s">
        <v>131</v>
      </c>
      <c r="F1324" t="s">
        <v>1065</v>
      </c>
      <c r="G1324" t="s">
        <v>1964</v>
      </c>
      <c r="H1324" t="s">
        <v>3621</v>
      </c>
      <c r="I1324" t="s">
        <v>4170</v>
      </c>
      <c r="J1324" t="s">
        <v>4232</v>
      </c>
      <c r="K1324">
        <v>11104</v>
      </c>
      <c r="L1324" t="s">
        <v>4275</v>
      </c>
      <c r="M1324" t="s">
        <v>4275</v>
      </c>
      <c r="O1324" t="s">
        <v>4282</v>
      </c>
      <c r="P1324" t="s">
        <v>5474</v>
      </c>
      <c r="Q1324" t="s">
        <v>5731</v>
      </c>
      <c r="R1324" t="s">
        <v>5751</v>
      </c>
      <c r="V1324" t="s">
        <v>5767</v>
      </c>
      <c r="W1324" t="s">
        <v>5772</v>
      </c>
      <c r="X1324" t="s">
        <v>131</v>
      </c>
      <c r="Y1324">
        <v>1050</v>
      </c>
      <c r="Z1324" t="s">
        <v>5803</v>
      </c>
      <c r="AA1324" t="s">
        <v>5804</v>
      </c>
      <c r="AC1324" t="s">
        <v>7037</v>
      </c>
      <c r="AE1324" t="s">
        <v>9018</v>
      </c>
      <c r="AF1324">
        <v>10</v>
      </c>
      <c r="AG1324" t="s">
        <v>9272</v>
      </c>
      <c r="AH1324" t="s">
        <v>9283</v>
      </c>
      <c r="AI1324">
        <v>8</v>
      </c>
      <c r="AJ1324">
        <v>1</v>
      </c>
      <c r="AK1324">
        <v>2</v>
      </c>
      <c r="AL1324">
        <v>20.33</v>
      </c>
      <c r="AP1324">
        <v>4224</v>
      </c>
      <c r="AV1324">
        <v>25</v>
      </c>
      <c r="AW1324" t="s">
        <v>74</v>
      </c>
    </row>
    <row r="1325" spans="1:49">
      <c r="A1325" s="1">
        <f>HYPERLINK("https://cms.ls-nyc.org/matter/dynamic-profile/view/1899402","19-1899402")</f>
        <v>0</v>
      </c>
      <c r="B1325" t="s">
        <v>78</v>
      </c>
      <c r="C1325" t="s">
        <v>83</v>
      </c>
      <c r="D1325" t="s">
        <v>104</v>
      </c>
      <c r="F1325" t="s">
        <v>1231</v>
      </c>
      <c r="G1325" t="s">
        <v>2316</v>
      </c>
      <c r="H1325" t="s">
        <v>3622</v>
      </c>
      <c r="J1325" t="s">
        <v>4222</v>
      </c>
      <c r="K1325">
        <v>11436</v>
      </c>
      <c r="L1325" t="s">
        <v>4275</v>
      </c>
      <c r="M1325" t="s">
        <v>4277</v>
      </c>
      <c r="O1325" t="s">
        <v>4283</v>
      </c>
      <c r="P1325" t="s">
        <v>5475</v>
      </c>
      <c r="Q1325" t="s">
        <v>5732</v>
      </c>
      <c r="R1325" t="s">
        <v>5752</v>
      </c>
      <c r="V1325" t="s">
        <v>5767</v>
      </c>
      <c r="X1325" t="s">
        <v>104</v>
      </c>
      <c r="Y1325">
        <v>900</v>
      </c>
      <c r="Z1325" t="s">
        <v>5803</v>
      </c>
      <c r="AA1325" t="s">
        <v>5804</v>
      </c>
      <c r="AC1325" t="s">
        <v>7038</v>
      </c>
      <c r="AE1325" t="s">
        <v>9019</v>
      </c>
      <c r="AF1325">
        <v>0</v>
      </c>
      <c r="AI1325">
        <v>1</v>
      </c>
      <c r="AJ1325">
        <v>1</v>
      </c>
      <c r="AK1325">
        <v>0</v>
      </c>
      <c r="AL1325">
        <v>22.1</v>
      </c>
      <c r="AO1325" t="s">
        <v>1425</v>
      </c>
      <c r="AP1325">
        <v>2760</v>
      </c>
      <c r="AV1325">
        <v>1.3</v>
      </c>
      <c r="AW1325" t="s">
        <v>9547</v>
      </c>
    </row>
    <row r="1326" spans="1:49">
      <c r="A1326" s="1">
        <f>HYPERLINK("https://cms.ls-nyc.org/matter/dynamic-profile/view/1872303","18-1872303")</f>
        <v>0</v>
      </c>
      <c r="B1326" t="s">
        <v>78</v>
      </c>
      <c r="C1326" t="s">
        <v>83</v>
      </c>
      <c r="D1326" t="s">
        <v>251</v>
      </c>
      <c r="F1326" t="s">
        <v>842</v>
      </c>
      <c r="G1326" t="s">
        <v>2317</v>
      </c>
      <c r="H1326" t="s">
        <v>2613</v>
      </c>
      <c r="I1326" t="s">
        <v>3996</v>
      </c>
      <c r="J1326" t="s">
        <v>4243</v>
      </c>
      <c r="K1326">
        <v>11691</v>
      </c>
      <c r="L1326" t="s">
        <v>4275</v>
      </c>
      <c r="M1326" t="s">
        <v>4275</v>
      </c>
      <c r="O1326" t="s">
        <v>4283</v>
      </c>
      <c r="P1326" t="s">
        <v>5476</v>
      </c>
      <c r="Q1326" t="s">
        <v>5732</v>
      </c>
      <c r="R1326" t="s">
        <v>5751</v>
      </c>
      <c r="T1326" t="s">
        <v>4276</v>
      </c>
      <c r="V1326" t="s">
        <v>5767</v>
      </c>
      <c r="W1326" t="s">
        <v>5772</v>
      </c>
      <c r="X1326" t="s">
        <v>251</v>
      </c>
      <c r="Y1326">
        <v>380</v>
      </c>
      <c r="Z1326" t="s">
        <v>5803</v>
      </c>
      <c r="AA1326" t="s">
        <v>5807</v>
      </c>
      <c r="AC1326" t="s">
        <v>7039</v>
      </c>
      <c r="AD1326" t="s">
        <v>7761</v>
      </c>
      <c r="AE1326" t="s">
        <v>9020</v>
      </c>
      <c r="AF1326">
        <v>231</v>
      </c>
      <c r="AG1326" t="s">
        <v>9273</v>
      </c>
      <c r="AH1326" t="s">
        <v>4280</v>
      </c>
      <c r="AI1326">
        <v>19</v>
      </c>
      <c r="AJ1326">
        <v>3</v>
      </c>
      <c r="AK1326">
        <v>0</v>
      </c>
      <c r="AL1326">
        <v>23.77</v>
      </c>
      <c r="AO1326" t="s">
        <v>1425</v>
      </c>
      <c r="AP1326">
        <v>4940</v>
      </c>
      <c r="AV1326">
        <v>17.68</v>
      </c>
      <c r="AW1326" t="s">
        <v>54</v>
      </c>
    </row>
    <row r="1327" spans="1:49">
      <c r="A1327" s="1">
        <f>HYPERLINK("https://cms.ls-nyc.org/matter/dynamic-profile/view/1880551","18-1880551")</f>
        <v>0</v>
      </c>
      <c r="B1327" t="s">
        <v>78</v>
      </c>
      <c r="C1327" t="s">
        <v>82</v>
      </c>
      <c r="D1327" t="s">
        <v>227</v>
      </c>
      <c r="E1327" t="s">
        <v>282</v>
      </c>
      <c r="F1327" t="s">
        <v>718</v>
      </c>
      <c r="G1327" t="s">
        <v>2318</v>
      </c>
      <c r="H1327" t="s">
        <v>3623</v>
      </c>
      <c r="J1327" t="s">
        <v>4231</v>
      </c>
      <c r="K1327">
        <v>11419</v>
      </c>
      <c r="L1327" t="s">
        <v>4275</v>
      </c>
      <c r="M1327" t="s">
        <v>4275</v>
      </c>
      <c r="O1327" t="s">
        <v>4282</v>
      </c>
      <c r="P1327" t="s">
        <v>5477</v>
      </c>
      <c r="Q1327" t="s">
        <v>5732</v>
      </c>
      <c r="R1327" t="s">
        <v>5753</v>
      </c>
      <c r="S1327" t="s">
        <v>5759</v>
      </c>
      <c r="T1327" t="s">
        <v>4276</v>
      </c>
      <c r="V1327" t="s">
        <v>5767</v>
      </c>
      <c r="W1327" t="s">
        <v>5772</v>
      </c>
      <c r="X1327" t="s">
        <v>5789</v>
      </c>
      <c r="Y1327">
        <v>860</v>
      </c>
      <c r="Z1327" t="s">
        <v>5803</v>
      </c>
      <c r="AA1327" t="s">
        <v>5804</v>
      </c>
      <c r="AB1327" t="s">
        <v>5821</v>
      </c>
      <c r="AC1327" t="s">
        <v>7040</v>
      </c>
      <c r="AD1327" t="s">
        <v>7762</v>
      </c>
      <c r="AE1327" t="s">
        <v>9021</v>
      </c>
      <c r="AF1327">
        <v>3</v>
      </c>
      <c r="AG1327" t="s">
        <v>9270</v>
      </c>
      <c r="AI1327">
        <v>3</v>
      </c>
      <c r="AJ1327">
        <v>1</v>
      </c>
      <c r="AK1327">
        <v>1</v>
      </c>
      <c r="AL1327">
        <v>29.4</v>
      </c>
      <c r="AO1327" t="s">
        <v>1425</v>
      </c>
      <c r="AP1327">
        <v>4840</v>
      </c>
      <c r="AV1327">
        <v>1.3</v>
      </c>
      <c r="AW1327" t="s">
        <v>54</v>
      </c>
    </row>
    <row r="1328" spans="1:49">
      <c r="A1328" s="1">
        <f>HYPERLINK("https://cms.ls-nyc.org/matter/dynamic-profile/view/1894300","19-1894300")</f>
        <v>0</v>
      </c>
      <c r="B1328" t="s">
        <v>78</v>
      </c>
      <c r="C1328" t="s">
        <v>83</v>
      </c>
      <c r="D1328" t="s">
        <v>211</v>
      </c>
      <c r="F1328" t="s">
        <v>1232</v>
      </c>
      <c r="G1328" t="s">
        <v>2319</v>
      </c>
      <c r="H1328" t="s">
        <v>3624</v>
      </c>
      <c r="I1328" t="s">
        <v>4171</v>
      </c>
      <c r="J1328" t="s">
        <v>4234</v>
      </c>
      <c r="K1328">
        <v>11106</v>
      </c>
      <c r="L1328" t="s">
        <v>4275</v>
      </c>
      <c r="M1328" t="s">
        <v>4275</v>
      </c>
      <c r="O1328" t="s">
        <v>4282</v>
      </c>
      <c r="P1328" t="s">
        <v>5478</v>
      </c>
      <c r="Q1328" t="s">
        <v>5731</v>
      </c>
      <c r="R1328" t="s">
        <v>5753</v>
      </c>
      <c r="T1328" t="s">
        <v>4276</v>
      </c>
      <c r="V1328" t="s">
        <v>5767</v>
      </c>
      <c r="W1328" t="s">
        <v>5772</v>
      </c>
      <c r="Y1328">
        <v>1300</v>
      </c>
      <c r="Z1328" t="s">
        <v>5803</v>
      </c>
      <c r="AA1328" t="s">
        <v>5804</v>
      </c>
      <c r="AC1328" t="s">
        <v>7041</v>
      </c>
      <c r="AE1328" t="s">
        <v>9022</v>
      </c>
      <c r="AF1328">
        <v>30</v>
      </c>
      <c r="AG1328" t="s">
        <v>9272</v>
      </c>
      <c r="AI1328">
        <v>11</v>
      </c>
      <c r="AJ1328">
        <v>2</v>
      </c>
      <c r="AK1328">
        <v>0</v>
      </c>
      <c r="AL1328">
        <v>31.08</v>
      </c>
      <c r="AO1328" t="s">
        <v>1425</v>
      </c>
      <c r="AP1328">
        <v>5256</v>
      </c>
      <c r="AV1328">
        <v>1.9</v>
      </c>
      <c r="AW1328" t="s">
        <v>78</v>
      </c>
    </row>
    <row r="1329" spans="1:49">
      <c r="A1329" s="1">
        <f>HYPERLINK("https://cms.ls-nyc.org/matter/dynamic-profile/view/1873965","18-1873965")</f>
        <v>0</v>
      </c>
      <c r="B1329" t="s">
        <v>78</v>
      </c>
      <c r="C1329" t="s">
        <v>82</v>
      </c>
      <c r="D1329" t="s">
        <v>131</v>
      </c>
      <c r="E1329" t="s">
        <v>282</v>
      </c>
      <c r="F1329" t="s">
        <v>780</v>
      </c>
      <c r="G1329" t="s">
        <v>2320</v>
      </c>
      <c r="H1329" t="s">
        <v>3625</v>
      </c>
      <c r="I1329" t="s">
        <v>3893</v>
      </c>
      <c r="J1329" t="s">
        <v>4251</v>
      </c>
      <c r="K1329">
        <v>11377</v>
      </c>
      <c r="L1329" t="s">
        <v>4275</v>
      </c>
      <c r="M1329" t="s">
        <v>4275</v>
      </c>
      <c r="O1329" t="s">
        <v>4282</v>
      </c>
      <c r="P1329" t="s">
        <v>5479</v>
      </c>
      <c r="Q1329" t="s">
        <v>5731</v>
      </c>
      <c r="R1329" t="s">
        <v>5753</v>
      </c>
      <c r="S1329" t="s">
        <v>5759</v>
      </c>
      <c r="T1329" t="s">
        <v>4276</v>
      </c>
      <c r="V1329" t="s">
        <v>5767</v>
      </c>
      <c r="W1329" t="s">
        <v>5775</v>
      </c>
      <c r="X1329" t="s">
        <v>131</v>
      </c>
      <c r="Y1329">
        <v>1900</v>
      </c>
      <c r="Z1329" t="s">
        <v>5803</v>
      </c>
      <c r="AA1329" t="s">
        <v>5804</v>
      </c>
      <c r="AB1329" t="s">
        <v>5821</v>
      </c>
      <c r="AC1329" t="s">
        <v>7042</v>
      </c>
      <c r="AE1329" t="s">
        <v>9023</v>
      </c>
      <c r="AF1329">
        <v>10</v>
      </c>
      <c r="AG1329" t="s">
        <v>9272</v>
      </c>
      <c r="AH1329" t="s">
        <v>9282</v>
      </c>
      <c r="AI1329">
        <v>30</v>
      </c>
      <c r="AJ1329">
        <v>1</v>
      </c>
      <c r="AK1329">
        <v>3</v>
      </c>
      <c r="AL1329">
        <v>35.86</v>
      </c>
      <c r="AO1329" t="s">
        <v>1425</v>
      </c>
      <c r="AP1329">
        <v>9000</v>
      </c>
      <c r="AV1329">
        <v>1.6</v>
      </c>
      <c r="AW1329" t="s">
        <v>54</v>
      </c>
    </row>
    <row r="1330" spans="1:49">
      <c r="A1330" s="1">
        <f>HYPERLINK("https://cms.ls-nyc.org/matter/dynamic-profile/view/1881544","18-1881544")</f>
        <v>0</v>
      </c>
      <c r="B1330" t="s">
        <v>78</v>
      </c>
      <c r="C1330" t="s">
        <v>83</v>
      </c>
      <c r="D1330" t="s">
        <v>269</v>
      </c>
      <c r="F1330" t="s">
        <v>1233</v>
      </c>
      <c r="G1330" t="s">
        <v>1450</v>
      </c>
      <c r="H1330" t="s">
        <v>3626</v>
      </c>
      <c r="I1330" t="s">
        <v>3927</v>
      </c>
      <c r="J1330" t="s">
        <v>4222</v>
      </c>
      <c r="K1330">
        <v>11433</v>
      </c>
      <c r="L1330" t="s">
        <v>4275</v>
      </c>
      <c r="M1330" t="s">
        <v>4275</v>
      </c>
      <c r="O1330" t="s">
        <v>4282</v>
      </c>
      <c r="P1330" t="s">
        <v>5480</v>
      </c>
      <c r="Q1330" t="s">
        <v>5732</v>
      </c>
      <c r="R1330" t="s">
        <v>5751</v>
      </c>
      <c r="T1330" t="s">
        <v>4276</v>
      </c>
      <c r="V1330" t="s">
        <v>5767</v>
      </c>
      <c r="Y1330">
        <v>1500</v>
      </c>
      <c r="Z1330" t="s">
        <v>5803</v>
      </c>
      <c r="AA1330" t="s">
        <v>5804</v>
      </c>
      <c r="AC1330" t="s">
        <v>7043</v>
      </c>
      <c r="AE1330" t="s">
        <v>9024</v>
      </c>
      <c r="AF1330">
        <v>0</v>
      </c>
      <c r="AG1330" t="s">
        <v>9270</v>
      </c>
      <c r="AH1330" t="s">
        <v>9284</v>
      </c>
      <c r="AI1330">
        <v>2</v>
      </c>
      <c r="AJ1330">
        <v>2</v>
      </c>
      <c r="AK1330">
        <v>1</v>
      </c>
      <c r="AL1330">
        <v>37.54</v>
      </c>
      <c r="AO1330" t="s">
        <v>1425</v>
      </c>
      <c r="AP1330">
        <v>7800</v>
      </c>
      <c r="AV1330">
        <v>24.78</v>
      </c>
      <c r="AW1330" t="s">
        <v>54</v>
      </c>
    </row>
    <row r="1331" spans="1:49">
      <c r="A1331" s="1">
        <f>HYPERLINK("https://cms.ls-nyc.org/matter/dynamic-profile/view/1874440","18-1874440")</f>
        <v>0</v>
      </c>
      <c r="B1331" t="s">
        <v>78</v>
      </c>
      <c r="C1331" t="s">
        <v>82</v>
      </c>
      <c r="D1331" t="s">
        <v>212</v>
      </c>
      <c r="E1331" t="s">
        <v>266</v>
      </c>
      <c r="F1331" t="s">
        <v>1234</v>
      </c>
      <c r="G1331" t="s">
        <v>2321</v>
      </c>
      <c r="H1331" t="s">
        <v>3627</v>
      </c>
      <c r="I1331" t="s">
        <v>4019</v>
      </c>
      <c r="J1331" t="s">
        <v>4222</v>
      </c>
      <c r="K1331">
        <v>11435</v>
      </c>
      <c r="L1331" t="s">
        <v>4275</v>
      </c>
      <c r="M1331" t="s">
        <v>4275</v>
      </c>
      <c r="O1331" t="s">
        <v>4282</v>
      </c>
      <c r="P1331" t="s">
        <v>5481</v>
      </c>
      <c r="Q1331" t="s">
        <v>5731</v>
      </c>
      <c r="R1331" t="s">
        <v>5753</v>
      </c>
      <c r="S1331" t="s">
        <v>5759</v>
      </c>
      <c r="T1331" t="s">
        <v>4276</v>
      </c>
      <c r="V1331" t="s">
        <v>5767</v>
      </c>
      <c r="W1331" t="s">
        <v>5772</v>
      </c>
      <c r="X1331" t="s">
        <v>212</v>
      </c>
      <c r="Y1331">
        <v>841</v>
      </c>
      <c r="Z1331" t="s">
        <v>5803</v>
      </c>
      <c r="AA1331" t="s">
        <v>5804</v>
      </c>
      <c r="AB1331" t="s">
        <v>5821</v>
      </c>
      <c r="AC1331" t="s">
        <v>7044</v>
      </c>
      <c r="AD1331" t="s">
        <v>7763</v>
      </c>
      <c r="AE1331" t="s">
        <v>9025</v>
      </c>
      <c r="AF1331">
        <v>17</v>
      </c>
      <c r="AG1331" t="s">
        <v>9272</v>
      </c>
      <c r="AH1331" t="s">
        <v>9287</v>
      </c>
      <c r="AI1331">
        <v>37</v>
      </c>
      <c r="AJ1331">
        <v>2</v>
      </c>
      <c r="AK1331">
        <v>0</v>
      </c>
      <c r="AL1331">
        <v>39.51</v>
      </c>
      <c r="AO1331" t="s">
        <v>9298</v>
      </c>
      <c r="AP1331">
        <v>6504</v>
      </c>
      <c r="AV1331">
        <v>2.5</v>
      </c>
      <c r="AW1331" t="s">
        <v>73</v>
      </c>
    </row>
    <row r="1332" spans="1:49">
      <c r="A1332" s="1">
        <f>HYPERLINK("https://cms.ls-nyc.org/matter/dynamic-profile/view/1900699","19-1900699")</f>
        <v>0</v>
      </c>
      <c r="B1332" t="s">
        <v>78</v>
      </c>
      <c r="C1332" t="s">
        <v>83</v>
      </c>
      <c r="D1332" t="s">
        <v>97</v>
      </c>
      <c r="F1332" t="s">
        <v>1106</v>
      </c>
      <c r="G1332" t="s">
        <v>2182</v>
      </c>
      <c r="H1332" t="s">
        <v>3432</v>
      </c>
      <c r="J1332" t="s">
        <v>4247</v>
      </c>
      <c r="K1332">
        <v>11415</v>
      </c>
      <c r="L1332" t="s">
        <v>4275</v>
      </c>
      <c r="M1332" t="s">
        <v>4277</v>
      </c>
      <c r="O1332" t="s">
        <v>4282</v>
      </c>
      <c r="Q1332" t="s">
        <v>4698</v>
      </c>
      <c r="R1332" t="s">
        <v>5756</v>
      </c>
      <c r="T1332" t="s">
        <v>4276</v>
      </c>
      <c r="V1332" t="s">
        <v>5767</v>
      </c>
      <c r="W1332" t="s">
        <v>5772</v>
      </c>
      <c r="Y1332">
        <v>1800</v>
      </c>
      <c r="Z1332" t="s">
        <v>5803</v>
      </c>
      <c r="AA1332" t="s">
        <v>5807</v>
      </c>
      <c r="AC1332" t="s">
        <v>6833</v>
      </c>
      <c r="AE1332" t="s">
        <v>8817</v>
      </c>
      <c r="AF1332">
        <v>50</v>
      </c>
      <c r="AG1332" t="s">
        <v>9272</v>
      </c>
      <c r="AH1332" t="s">
        <v>9283</v>
      </c>
      <c r="AI1332">
        <v>4</v>
      </c>
      <c r="AJ1332">
        <v>2</v>
      </c>
      <c r="AK1332">
        <v>3</v>
      </c>
      <c r="AL1332">
        <v>39.77</v>
      </c>
      <c r="AO1332" t="s">
        <v>9306</v>
      </c>
      <c r="AP1332">
        <v>12000</v>
      </c>
      <c r="AV1332">
        <v>2.1</v>
      </c>
      <c r="AW1332" t="s">
        <v>78</v>
      </c>
    </row>
    <row r="1333" spans="1:49">
      <c r="A1333" s="1">
        <f>HYPERLINK("https://cms.ls-nyc.org/matter/dynamic-profile/view/1898784","19-1898784")</f>
        <v>0</v>
      </c>
      <c r="B1333" t="s">
        <v>78</v>
      </c>
      <c r="C1333" t="s">
        <v>83</v>
      </c>
      <c r="D1333" t="s">
        <v>93</v>
      </c>
      <c r="F1333" t="s">
        <v>941</v>
      </c>
      <c r="G1333" t="s">
        <v>2322</v>
      </c>
      <c r="H1333" t="s">
        <v>3628</v>
      </c>
      <c r="I1333" t="s">
        <v>4053</v>
      </c>
      <c r="J1333" t="s">
        <v>4222</v>
      </c>
      <c r="K1333">
        <v>11433</v>
      </c>
      <c r="L1333" t="s">
        <v>4275</v>
      </c>
      <c r="M1333" t="s">
        <v>4275</v>
      </c>
      <c r="O1333" t="s">
        <v>4281</v>
      </c>
      <c r="P1333" t="s">
        <v>5482</v>
      </c>
      <c r="Q1333" t="s">
        <v>5731</v>
      </c>
      <c r="R1333" t="s">
        <v>5751</v>
      </c>
      <c r="T1333" t="s">
        <v>4275</v>
      </c>
      <c r="V1333" t="s">
        <v>5767</v>
      </c>
      <c r="X1333" t="s">
        <v>93</v>
      </c>
      <c r="Y1333">
        <v>1303</v>
      </c>
      <c r="Z1333" t="s">
        <v>5803</v>
      </c>
      <c r="AC1333" t="s">
        <v>7045</v>
      </c>
      <c r="AE1333" t="s">
        <v>9026</v>
      </c>
      <c r="AF1333">
        <v>50</v>
      </c>
      <c r="AG1333" t="s">
        <v>9272</v>
      </c>
      <c r="AI1333">
        <v>3</v>
      </c>
      <c r="AJ1333">
        <v>2</v>
      </c>
      <c r="AK1333">
        <v>0</v>
      </c>
      <c r="AL1333">
        <v>40.24</v>
      </c>
      <c r="AP1333">
        <v>6804</v>
      </c>
      <c r="AV1333">
        <v>13.8</v>
      </c>
      <c r="AW1333" t="s">
        <v>9547</v>
      </c>
    </row>
    <row r="1334" spans="1:49">
      <c r="A1334" s="1">
        <f>HYPERLINK("https://cms.ls-nyc.org/matter/dynamic-profile/view/1887663","19-1887663")</f>
        <v>0</v>
      </c>
      <c r="B1334" t="s">
        <v>78</v>
      </c>
      <c r="C1334" t="s">
        <v>83</v>
      </c>
      <c r="D1334" t="s">
        <v>136</v>
      </c>
      <c r="F1334" t="s">
        <v>1235</v>
      </c>
      <c r="G1334" t="s">
        <v>2120</v>
      </c>
      <c r="H1334" t="s">
        <v>3629</v>
      </c>
      <c r="I1334" t="s">
        <v>3902</v>
      </c>
      <c r="J1334" t="s">
        <v>4251</v>
      </c>
      <c r="K1334">
        <v>11377</v>
      </c>
      <c r="L1334" t="s">
        <v>4275</v>
      </c>
      <c r="M1334" t="s">
        <v>4275</v>
      </c>
      <c r="O1334" t="s">
        <v>4282</v>
      </c>
      <c r="P1334" t="s">
        <v>5483</v>
      </c>
      <c r="Q1334" t="s">
        <v>5731</v>
      </c>
      <c r="R1334" t="s">
        <v>5753</v>
      </c>
      <c r="T1334" t="s">
        <v>4276</v>
      </c>
      <c r="V1334" t="s">
        <v>5767</v>
      </c>
      <c r="W1334" t="s">
        <v>5772</v>
      </c>
      <c r="X1334" t="s">
        <v>136</v>
      </c>
      <c r="Y1334">
        <v>1300</v>
      </c>
      <c r="Z1334" t="s">
        <v>5803</v>
      </c>
      <c r="AA1334" t="s">
        <v>5805</v>
      </c>
      <c r="AC1334" t="s">
        <v>7046</v>
      </c>
      <c r="AD1334" t="s">
        <v>7764</v>
      </c>
      <c r="AE1334" t="s">
        <v>7289</v>
      </c>
      <c r="AF1334">
        <v>6</v>
      </c>
      <c r="AG1334" t="s">
        <v>9272</v>
      </c>
      <c r="AH1334" t="s">
        <v>4280</v>
      </c>
      <c r="AI1334">
        <v>0</v>
      </c>
      <c r="AJ1334">
        <v>1</v>
      </c>
      <c r="AK1334">
        <v>0</v>
      </c>
      <c r="AL1334">
        <v>40.53</v>
      </c>
      <c r="AO1334" t="s">
        <v>1425</v>
      </c>
      <c r="AP1334">
        <v>4920</v>
      </c>
      <c r="AV1334">
        <v>3.45</v>
      </c>
      <c r="AW1334" t="s">
        <v>73</v>
      </c>
    </row>
    <row r="1335" spans="1:49">
      <c r="A1335" s="1">
        <f>HYPERLINK("https://cms.ls-nyc.org/matter/dynamic-profile/view/1882743","18-1882743")</f>
        <v>0</v>
      </c>
      <c r="B1335" t="s">
        <v>78</v>
      </c>
      <c r="C1335" t="s">
        <v>83</v>
      </c>
      <c r="D1335" t="s">
        <v>111</v>
      </c>
      <c r="F1335" t="s">
        <v>1236</v>
      </c>
      <c r="G1335" t="s">
        <v>2323</v>
      </c>
      <c r="H1335" t="s">
        <v>3630</v>
      </c>
      <c r="I1335" t="s">
        <v>3977</v>
      </c>
      <c r="J1335" t="s">
        <v>4241</v>
      </c>
      <c r="K1335">
        <v>11368</v>
      </c>
      <c r="L1335" t="s">
        <v>4275</v>
      </c>
      <c r="M1335" t="s">
        <v>4275</v>
      </c>
      <c r="O1335" t="s">
        <v>4282</v>
      </c>
      <c r="P1335" t="s">
        <v>5484</v>
      </c>
      <c r="Q1335" t="s">
        <v>5731</v>
      </c>
      <c r="R1335" t="s">
        <v>5753</v>
      </c>
      <c r="T1335" t="s">
        <v>4276</v>
      </c>
      <c r="V1335" t="s">
        <v>5767</v>
      </c>
      <c r="W1335" t="s">
        <v>5772</v>
      </c>
      <c r="X1335" t="s">
        <v>111</v>
      </c>
      <c r="Y1335">
        <v>1850</v>
      </c>
      <c r="Z1335" t="s">
        <v>5803</v>
      </c>
      <c r="AA1335" t="s">
        <v>5804</v>
      </c>
      <c r="AC1335" t="s">
        <v>7047</v>
      </c>
      <c r="AD1335" t="s">
        <v>7765</v>
      </c>
      <c r="AE1335" t="s">
        <v>9027</v>
      </c>
      <c r="AF1335">
        <v>219</v>
      </c>
      <c r="AG1335" t="s">
        <v>9272</v>
      </c>
      <c r="AH1335" t="s">
        <v>4280</v>
      </c>
      <c r="AI1335">
        <v>4</v>
      </c>
      <c r="AJ1335">
        <v>1</v>
      </c>
      <c r="AK1335">
        <v>2</v>
      </c>
      <c r="AL1335">
        <v>43.31</v>
      </c>
      <c r="AO1335" t="s">
        <v>1425</v>
      </c>
      <c r="AP1335">
        <v>9000</v>
      </c>
      <c r="AV1335">
        <v>0.8</v>
      </c>
      <c r="AW1335" t="s">
        <v>73</v>
      </c>
    </row>
    <row r="1336" spans="1:49">
      <c r="A1336" s="1">
        <f>HYPERLINK("https://cms.ls-nyc.org/matter/dynamic-profile/view/1900565","19-1900565")</f>
        <v>0</v>
      </c>
      <c r="B1336" t="s">
        <v>78</v>
      </c>
      <c r="C1336" t="s">
        <v>83</v>
      </c>
      <c r="D1336" t="s">
        <v>87</v>
      </c>
      <c r="F1336" t="s">
        <v>702</v>
      </c>
      <c r="G1336" t="s">
        <v>1955</v>
      </c>
      <c r="H1336" t="s">
        <v>3631</v>
      </c>
      <c r="I1336" t="s">
        <v>3916</v>
      </c>
      <c r="J1336" t="s">
        <v>4241</v>
      </c>
      <c r="K1336">
        <v>11368</v>
      </c>
      <c r="L1336" t="s">
        <v>4275</v>
      </c>
      <c r="M1336" t="s">
        <v>4277</v>
      </c>
      <c r="N1336" t="s">
        <v>4279</v>
      </c>
      <c r="O1336" t="s">
        <v>4282</v>
      </c>
      <c r="P1336" t="s">
        <v>5485</v>
      </c>
      <c r="Q1336" t="s">
        <v>5731</v>
      </c>
      <c r="R1336" t="s">
        <v>5751</v>
      </c>
      <c r="T1336" t="s">
        <v>4276</v>
      </c>
      <c r="V1336" t="s">
        <v>5767</v>
      </c>
      <c r="X1336" t="s">
        <v>87</v>
      </c>
      <c r="Y1336">
        <v>288</v>
      </c>
      <c r="Z1336" t="s">
        <v>5803</v>
      </c>
      <c r="AA1336" t="s">
        <v>5804</v>
      </c>
      <c r="AC1336" t="s">
        <v>7048</v>
      </c>
      <c r="AD1336" t="s">
        <v>7766</v>
      </c>
      <c r="AE1336" t="s">
        <v>9028</v>
      </c>
      <c r="AF1336">
        <v>250</v>
      </c>
      <c r="AG1336" t="s">
        <v>9270</v>
      </c>
      <c r="AH1336" t="s">
        <v>9282</v>
      </c>
      <c r="AI1336">
        <v>14</v>
      </c>
      <c r="AJ1336">
        <v>2</v>
      </c>
      <c r="AK1336">
        <v>0</v>
      </c>
      <c r="AL1336">
        <v>44</v>
      </c>
      <c r="AO1336" t="s">
        <v>9298</v>
      </c>
      <c r="AP1336">
        <v>7440</v>
      </c>
      <c r="AV1336">
        <v>2.4</v>
      </c>
      <c r="AW1336" t="s">
        <v>54</v>
      </c>
    </row>
    <row r="1337" spans="1:49">
      <c r="A1337" s="1">
        <f>HYPERLINK("https://cms.ls-nyc.org/matter/dynamic-profile/view/1891183","19-1891183")</f>
        <v>0</v>
      </c>
      <c r="B1337" t="s">
        <v>78</v>
      </c>
      <c r="C1337" t="s">
        <v>83</v>
      </c>
      <c r="D1337" t="s">
        <v>167</v>
      </c>
      <c r="F1337" t="s">
        <v>363</v>
      </c>
      <c r="G1337" t="s">
        <v>1691</v>
      </c>
      <c r="H1337" t="s">
        <v>3632</v>
      </c>
      <c r="J1337" t="s">
        <v>4241</v>
      </c>
      <c r="K1337">
        <v>11368</v>
      </c>
      <c r="L1337" t="s">
        <v>4276</v>
      </c>
      <c r="M1337" t="s">
        <v>4275</v>
      </c>
      <c r="O1337" t="s">
        <v>4283</v>
      </c>
      <c r="Q1337" t="s">
        <v>5732</v>
      </c>
      <c r="R1337" t="s">
        <v>5752</v>
      </c>
      <c r="T1337" t="s">
        <v>4276</v>
      </c>
      <c r="V1337" t="s">
        <v>5767</v>
      </c>
      <c r="Y1337">
        <v>1400</v>
      </c>
      <c r="Z1337" t="s">
        <v>5803</v>
      </c>
      <c r="AA1337" t="s">
        <v>5804</v>
      </c>
      <c r="AC1337" t="s">
        <v>7049</v>
      </c>
      <c r="AD1337" t="s">
        <v>7767</v>
      </c>
      <c r="AE1337" t="s">
        <v>8928</v>
      </c>
      <c r="AF1337">
        <v>25</v>
      </c>
      <c r="AG1337" t="s">
        <v>9269</v>
      </c>
      <c r="AH1337" t="s">
        <v>9283</v>
      </c>
      <c r="AI1337">
        <v>6</v>
      </c>
      <c r="AJ1337">
        <v>1</v>
      </c>
      <c r="AK1337">
        <v>3</v>
      </c>
      <c r="AL1337">
        <v>46.6</v>
      </c>
      <c r="AO1337" t="s">
        <v>9298</v>
      </c>
      <c r="AP1337">
        <v>12000</v>
      </c>
      <c r="AV1337">
        <v>1.2</v>
      </c>
      <c r="AW1337" t="s">
        <v>78</v>
      </c>
    </row>
    <row r="1338" spans="1:49">
      <c r="A1338" s="1">
        <f>HYPERLINK("https://cms.ls-nyc.org/matter/dynamic-profile/view/1871962","18-1871962")</f>
        <v>0</v>
      </c>
      <c r="B1338" t="s">
        <v>78</v>
      </c>
      <c r="C1338" t="s">
        <v>82</v>
      </c>
      <c r="D1338" t="s">
        <v>113</v>
      </c>
      <c r="E1338" t="s">
        <v>95</v>
      </c>
      <c r="F1338" t="s">
        <v>1237</v>
      </c>
      <c r="G1338" t="s">
        <v>2324</v>
      </c>
      <c r="H1338" t="s">
        <v>3633</v>
      </c>
      <c r="I1338" t="s">
        <v>3856</v>
      </c>
      <c r="J1338" t="s">
        <v>4241</v>
      </c>
      <c r="K1338">
        <v>11368</v>
      </c>
      <c r="L1338" t="s">
        <v>4275</v>
      </c>
      <c r="M1338" t="s">
        <v>4275</v>
      </c>
      <c r="N1338" t="s">
        <v>4278</v>
      </c>
      <c r="O1338" t="s">
        <v>4282</v>
      </c>
      <c r="P1338" t="s">
        <v>5486</v>
      </c>
      <c r="Q1338" t="s">
        <v>5732</v>
      </c>
      <c r="R1338" t="s">
        <v>5751</v>
      </c>
      <c r="S1338" t="s">
        <v>5758</v>
      </c>
      <c r="T1338" t="s">
        <v>4276</v>
      </c>
      <c r="V1338" t="s">
        <v>5767</v>
      </c>
      <c r="W1338" t="s">
        <v>5771</v>
      </c>
      <c r="X1338" t="s">
        <v>113</v>
      </c>
      <c r="Y1338">
        <v>570.6900000000001</v>
      </c>
      <c r="Z1338" t="s">
        <v>5803</v>
      </c>
      <c r="AA1338" t="s">
        <v>5804</v>
      </c>
      <c r="AB1338" t="s">
        <v>5820</v>
      </c>
      <c r="AC1338" t="s">
        <v>7050</v>
      </c>
      <c r="AD1338" t="s">
        <v>7768</v>
      </c>
      <c r="AE1338" t="s">
        <v>9029</v>
      </c>
      <c r="AF1338">
        <v>6</v>
      </c>
      <c r="AG1338" t="s">
        <v>9272</v>
      </c>
      <c r="AH1338" t="s">
        <v>4280</v>
      </c>
      <c r="AI1338">
        <v>41</v>
      </c>
      <c r="AJ1338">
        <v>1</v>
      </c>
      <c r="AK1338">
        <v>1</v>
      </c>
      <c r="AL1338">
        <v>46.8</v>
      </c>
      <c r="AO1338" t="s">
        <v>1425</v>
      </c>
      <c r="AP1338">
        <v>7704</v>
      </c>
      <c r="AR1338" t="s">
        <v>9335</v>
      </c>
      <c r="AS1338" t="s">
        <v>9354</v>
      </c>
      <c r="AT1338" t="s">
        <v>9369</v>
      </c>
      <c r="AU1338" t="s">
        <v>9502</v>
      </c>
      <c r="AV1338">
        <v>34.7</v>
      </c>
      <c r="AW1338" t="s">
        <v>73</v>
      </c>
    </row>
    <row r="1339" spans="1:49">
      <c r="A1339" s="1">
        <f>HYPERLINK("https://cms.ls-nyc.org/matter/dynamic-profile/view/1878957","18-1878957")</f>
        <v>0</v>
      </c>
      <c r="B1339" t="s">
        <v>78</v>
      </c>
      <c r="C1339" t="s">
        <v>83</v>
      </c>
      <c r="D1339" t="s">
        <v>279</v>
      </c>
      <c r="F1339" t="s">
        <v>376</v>
      </c>
      <c r="G1339" t="s">
        <v>2325</v>
      </c>
      <c r="H1339" t="s">
        <v>3634</v>
      </c>
      <c r="I1339" t="s">
        <v>4172</v>
      </c>
      <c r="J1339" t="s">
        <v>4240</v>
      </c>
      <c r="K1339">
        <v>11373</v>
      </c>
      <c r="L1339" t="s">
        <v>4275</v>
      </c>
      <c r="M1339" t="s">
        <v>4275</v>
      </c>
      <c r="N1339" t="s">
        <v>4278</v>
      </c>
      <c r="O1339" t="s">
        <v>4281</v>
      </c>
      <c r="P1339" t="s">
        <v>5487</v>
      </c>
      <c r="Q1339" t="s">
        <v>5731</v>
      </c>
      <c r="R1339" t="s">
        <v>5751</v>
      </c>
      <c r="T1339" t="s">
        <v>4276</v>
      </c>
      <c r="V1339" t="s">
        <v>5767</v>
      </c>
      <c r="W1339" t="s">
        <v>5772</v>
      </c>
      <c r="X1339" t="s">
        <v>279</v>
      </c>
      <c r="Y1339">
        <v>1442.76</v>
      </c>
      <c r="Z1339" t="s">
        <v>5803</v>
      </c>
      <c r="AA1339" t="s">
        <v>5819</v>
      </c>
      <c r="AC1339" t="s">
        <v>7051</v>
      </c>
      <c r="AE1339" t="s">
        <v>9030</v>
      </c>
      <c r="AF1339">
        <v>21</v>
      </c>
      <c r="AG1339" t="s">
        <v>9272</v>
      </c>
      <c r="AH1339" t="s">
        <v>4280</v>
      </c>
      <c r="AI1339">
        <v>8</v>
      </c>
      <c r="AJ1339">
        <v>1</v>
      </c>
      <c r="AK1339">
        <v>0</v>
      </c>
      <c r="AL1339">
        <v>46.85</v>
      </c>
      <c r="AO1339" t="s">
        <v>9298</v>
      </c>
      <c r="AP1339">
        <v>5688</v>
      </c>
      <c r="AS1339" t="s">
        <v>9341</v>
      </c>
      <c r="AT1339" t="s">
        <v>9369</v>
      </c>
      <c r="AU1339" t="s">
        <v>9396</v>
      </c>
      <c r="AV1339">
        <v>23.09</v>
      </c>
      <c r="AW1339" t="s">
        <v>73</v>
      </c>
    </row>
    <row r="1340" spans="1:49">
      <c r="A1340" s="1">
        <f>HYPERLINK("https://cms.ls-nyc.org/matter/dynamic-profile/view/1892246","19-1892246")</f>
        <v>0</v>
      </c>
      <c r="B1340" t="s">
        <v>78</v>
      </c>
      <c r="C1340" t="s">
        <v>83</v>
      </c>
      <c r="D1340" t="s">
        <v>160</v>
      </c>
      <c r="F1340" t="s">
        <v>1238</v>
      </c>
      <c r="G1340" t="s">
        <v>2326</v>
      </c>
      <c r="H1340" t="s">
        <v>3635</v>
      </c>
      <c r="I1340" t="s">
        <v>3961</v>
      </c>
      <c r="J1340" t="s">
        <v>4234</v>
      </c>
      <c r="K1340">
        <v>11105</v>
      </c>
      <c r="L1340" t="s">
        <v>4275</v>
      </c>
      <c r="M1340" t="s">
        <v>4275</v>
      </c>
      <c r="O1340" t="s">
        <v>4282</v>
      </c>
      <c r="P1340" t="s">
        <v>5488</v>
      </c>
      <c r="Q1340" t="s">
        <v>5731</v>
      </c>
      <c r="R1340" t="s">
        <v>5751</v>
      </c>
      <c r="T1340" t="s">
        <v>4276</v>
      </c>
      <c r="V1340" t="s">
        <v>5767</v>
      </c>
      <c r="W1340" t="s">
        <v>5772</v>
      </c>
      <c r="Y1340">
        <v>1574.77</v>
      </c>
      <c r="Z1340" t="s">
        <v>5803</v>
      </c>
      <c r="AA1340" t="s">
        <v>5804</v>
      </c>
      <c r="AC1340" t="s">
        <v>7052</v>
      </c>
      <c r="AE1340" t="s">
        <v>9031</v>
      </c>
      <c r="AF1340">
        <v>642</v>
      </c>
      <c r="AG1340" t="s">
        <v>9272</v>
      </c>
      <c r="AH1340" t="s">
        <v>4280</v>
      </c>
      <c r="AI1340">
        <v>10</v>
      </c>
      <c r="AJ1340">
        <v>1</v>
      </c>
      <c r="AK1340">
        <v>0</v>
      </c>
      <c r="AL1340">
        <v>47.08</v>
      </c>
      <c r="AO1340" t="s">
        <v>1425</v>
      </c>
      <c r="AP1340">
        <v>5880</v>
      </c>
      <c r="AV1340">
        <v>16.9</v>
      </c>
      <c r="AW1340" t="s">
        <v>74</v>
      </c>
    </row>
    <row r="1341" spans="1:49">
      <c r="A1341" s="1">
        <f>HYPERLINK("https://cms.ls-nyc.org/matter/dynamic-profile/view/1882703","18-1882703")</f>
        <v>0</v>
      </c>
      <c r="B1341" t="s">
        <v>78</v>
      </c>
      <c r="C1341" t="s">
        <v>83</v>
      </c>
      <c r="D1341" t="s">
        <v>111</v>
      </c>
      <c r="F1341" t="s">
        <v>1239</v>
      </c>
      <c r="G1341" t="s">
        <v>1385</v>
      </c>
      <c r="H1341" t="s">
        <v>3636</v>
      </c>
      <c r="I1341" t="s">
        <v>3909</v>
      </c>
      <c r="J1341" t="s">
        <v>4245</v>
      </c>
      <c r="K1341">
        <v>11418</v>
      </c>
      <c r="L1341" t="s">
        <v>4275</v>
      </c>
      <c r="M1341" t="s">
        <v>4275</v>
      </c>
      <c r="O1341" t="s">
        <v>4282</v>
      </c>
      <c r="P1341" t="s">
        <v>5489</v>
      </c>
      <c r="Q1341" t="s">
        <v>5731</v>
      </c>
      <c r="R1341" t="s">
        <v>5751</v>
      </c>
      <c r="T1341" t="s">
        <v>4276</v>
      </c>
      <c r="V1341" t="s">
        <v>5767</v>
      </c>
      <c r="W1341" t="s">
        <v>5772</v>
      </c>
      <c r="X1341" t="s">
        <v>111</v>
      </c>
      <c r="Y1341">
        <v>1950</v>
      </c>
      <c r="Z1341" t="s">
        <v>5803</v>
      </c>
      <c r="AA1341" t="s">
        <v>5804</v>
      </c>
      <c r="AC1341" t="s">
        <v>7053</v>
      </c>
      <c r="AE1341" t="s">
        <v>9032</v>
      </c>
      <c r="AF1341">
        <v>3</v>
      </c>
      <c r="AG1341" t="s">
        <v>9269</v>
      </c>
      <c r="AH1341" t="s">
        <v>9282</v>
      </c>
      <c r="AI1341">
        <v>14</v>
      </c>
      <c r="AJ1341">
        <v>1</v>
      </c>
      <c r="AK1341">
        <v>0</v>
      </c>
      <c r="AL1341">
        <v>48.43</v>
      </c>
      <c r="AO1341" t="s">
        <v>1425</v>
      </c>
      <c r="AP1341">
        <v>5880</v>
      </c>
      <c r="AV1341">
        <v>34</v>
      </c>
      <c r="AW1341" t="s">
        <v>73</v>
      </c>
    </row>
    <row r="1342" spans="1:49">
      <c r="A1342" s="1">
        <f>HYPERLINK("https://cms.ls-nyc.org/matter/dynamic-profile/view/1882666","18-1882666")</f>
        <v>0</v>
      </c>
      <c r="B1342" t="s">
        <v>78</v>
      </c>
      <c r="C1342" t="s">
        <v>82</v>
      </c>
      <c r="D1342" t="s">
        <v>111</v>
      </c>
      <c r="E1342" t="s">
        <v>203</v>
      </c>
      <c r="F1342" t="s">
        <v>640</v>
      </c>
      <c r="G1342" t="s">
        <v>2327</v>
      </c>
      <c r="H1342" t="s">
        <v>3637</v>
      </c>
      <c r="I1342" t="s">
        <v>3985</v>
      </c>
      <c r="J1342" t="s">
        <v>4222</v>
      </c>
      <c r="K1342">
        <v>11434</v>
      </c>
      <c r="L1342" t="s">
        <v>4275</v>
      </c>
      <c r="M1342" t="s">
        <v>4275</v>
      </c>
      <c r="O1342" t="s">
        <v>4281</v>
      </c>
      <c r="P1342" t="s">
        <v>5490</v>
      </c>
      <c r="Q1342" t="s">
        <v>5732</v>
      </c>
      <c r="R1342" t="s">
        <v>5751</v>
      </c>
      <c r="S1342" t="s">
        <v>5758</v>
      </c>
      <c r="T1342" t="s">
        <v>4276</v>
      </c>
      <c r="V1342" t="s">
        <v>5767</v>
      </c>
      <c r="W1342" t="s">
        <v>5772</v>
      </c>
      <c r="X1342" t="s">
        <v>111</v>
      </c>
      <c r="Y1342">
        <v>650</v>
      </c>
      <c r="Z1342" t="s">
        <v>5803</v>
      </c>
      <c r="AA1342" t="s">
        <v>5804</v>
      </c>
      <c r="AB1342" t="s">
        <v>5822</v>
      </c>
      <c r="AC1342" t="s">
        <v>7054</v>
      </c>
      <c r="AD1342" t="s">
        <v>7769</v>
      </c>
      <c r="AE1342" t="s">
        <v>7289</v>
      </c>
      <c r="AF1342">
        <v>2</v>
      </c>
      <c r="AG1342" t="s">
        <v>9269</v>
      </c>
      <c r="AH1342" t="s">
        <v>4280</v>
      </c>
      <c r="AI1342">
        <v>3</v>
      </c>
      <c r="AJ1342">
        <v>1</v>
      </c>
      <c r="AK1342">
        <v>2</v>
      </c>
      <c r="AL1342">
        <v>50.05</v>
      </c>
      <c r="AO1342" t="s">
        <v>1425</v>
      </c>
      <c r="AP1342">
        <v>10400</v>
      </c>
      <c r="AS1342" t="s">
        <v>5806</v>
      </c>
      <c r="AT1342" t="s">
        <v>9370</v>
      </c>
      <c r="AU1342" t="s">
        <v>9382</v>
      </c>
      <c r="AV1342">
        <v>7.1</v>
      </c>
      <c r="AW1342" t="s">
        <v>73</v>
      </c>
    </row>
    <row r="1343" spans="1:49">
      <c r="A1343" s="1">
        <f>HYPERLINK("https://cms.ls-nyc.org/matter/dynamic-profile/view/1895855","19-1895855")</f>
        <v>0</v>
      </c>
      <c r="B1343" t="s">
        <v>78</v>
      </c>
      <c r="C1343" t="s">
        <v>83</v>
      </c>
      <c r="D1343" t="s">
        <v>94</v>
      </c>
      <c r="F1343" t="s">
        <v>417</v>
      </c>
      <c r="G1343" t="s">
        <v>2328</v>
      </c>
      <c r="H1343" t="s">
        <v>3638</v>
      </c>
      <c r="I1343" t="s">
        <v>4012</v>
      </c>
      <c r="J1343" t="s">
        <v>4251</v>
      </c>
      <c r="K1343">
        <v>11377</v>
      </c>
      <c r="L1343" t="s">
        <v>4275</v>
      </c>
      <c r="M1343" t="s">
        <v>4275</v>
      </c>
      <c r="O1343" t="s">
        <v>4283</v>
      </c>
      <c r="P1343" t="s">
        <v>5491</v>
      </c>
      <c r="Q1343" t="s">
        <v>5731</v>
      </c>
      <c r="R1343" t="s">
        <v>5753</v>
      </c>
      <c r="V1343" t="s">
        <v>5767</v>
      </c>
      <c r="Y1343">
        <v>1300</v>
      </c>
      <c r="Z1343" t="s">
        <v>5803</v>
      </c>
      <c r="AA1343" t="s">
        <v>5804</v>
      </c>
      <c r="AC1343" t="s">
        <v>7055</v>
      </c>
      <c r="AE1343" t="s">
        <v>9033</v>
      </c>
      <c r="AF1343">
        <v>22</v>
      </c>
      <c r="AG1343" t="s">
        <v>9270</v>
      </c>
      <c r="AH1343" t="s">
        <v>4280</v>
      </c>
      <c r="AI1343">
        <v>5</v>
      </c>
      <c r="AJ1343">
        <v>1</v>
      </c>
      <c r="AK1343">
        <v>0</v>
      </c>
      <c r="AL1343">
        <v>52.04</v>
      </c>
      <c r="AO1343" t="s">
        <v>1425</v>
      </c>
      <c r="AP1343">
        <v>6500</v>
      </c>
      <c r="AV1343">
        <v>1.25</v>
      </c>
      <c r="AW1343" t="s">
        <v>74</v>
      </c>
    </row>
    <row r="1344" spans="1:49">
      <c r="A1344" s="1">
        <f>HYPERLINK("https://cms.ls-nyc.org/matter/dynamic-profile/view/1889397","19-1889397")</f>
        <v>0</v>
      </c>
      <c r="B1344" t="s">
        <v>78</v>
      </c>
      <c r="C1344" t="s">
        <v>83</v>
      </c>
      <c r="D1344" t="s">
        <v>119</v>
      </c>
      <c r="F1344" t="s">
        <v>1240</v>
      </c>
      <c r="G1344" t="s">
        <v>1392</v>
      </c>
      <c r="H1344" t="s">
        <v>3639</v>
      </c>
      <c r="I1344" t="s">
        <v>3940</v>
      </c>
      <c r="J1344" t="s">
        <v>4225</v>
      </c>
      <c r="K1344">
        <v>11385</v>
      </c>
      <c r="L1344" t="s">
        <v>4275</v>
      </c>
      <c r="M1344" t="s">
        <v>4275</v>
      </c>
      <c r="O1344" t="s">
        <v>4281</v>
      </c>
      <c r="P1344" t="s">
        <v>5492</v>
      </c>
      <c r="Q1344" t="s">
        <v>5731</v>
      </c>
      <c r="R1344" t="s">
        <v>5751</v>
      </c>
      <c r="T1344" t="s">
        <v>4276</v>
      </c>
      <c r="V1344" t="s">
        <v>5767</v>
      </c>
      <c r="W1344" t="s">
        <v>5772</v>
      </c>
      <c r="X1344" t="s">
        <v>119</v>
      </c>
      <c r="Y1344">
        <v>1127</v>
      </c>
      <c r="Z1344" t="s">
        <v>5803</v>
      </c>
      <c r="AA1344" t="s">
        <v>5804</v>
      </c>
      <c r="AC1344" t="s">
        <v>7056</v>
      </c>
      <c r="AD1344" t="s">
        <v>7770</v>
      </c>
      <c r="AE1344" t="s">
        <v>9034</v>
      </c>
      <c r="AF1344">
        <v>2</v>
      </c>
      <c r="AG1344" t="s">
        <v>9269</v>
      </c>
      <c r="AH1344" t="s">
        <v>4280</v>
      </c>
      <c r="AI1344">
        <v>15</v>
      </c>
      <c r="AJ1344">
        <v>2</v>
      </c>
      <c r="AK1344">
        <v>0</v>
      </c>
      <c r="AL1344">
        <v>55.35</v>
      </c>
      <c r="AO1344" t="s">
        <v>9298</v>
      </c>
      <c r="AP1344">
        <v>9360</v>
      </c>
      <c r="AV1344">
        <v>33.7</v>
      </c>
      <c r="AW1344" t="s">
        <v>73</v>
      </c>
    </row>
    <row r="1345" spans="1:49">
      <c r="A1345" s="1">
        <f>HYPERLINK("https://cms.ls-nyc.org/matter/dynamic-profile/view/1873655","18-1873655")</f>
        <v>0</v>
      </c>
      <c r="B1345" t="s">
        <v>78</v>
      </c>
      <c r="C1345" t="s">
        <v>83</v>
      </c>
      <c r="D1345" t="s">
        <v>264</v>
      </c>
      <c r="F1345" t="s">
        <v>483</v>
      </c>
      <c r="G1345" t="s">
        <v>2329</v>
      </c>
      <c r="H1345" t="s">
        <v>3640</v>
      </c>
      <c r="I1345" t="s">
        <v>4173</v>
      </c>
      <c r="J1345" t="s">
        <v>4243</v>
      </c>
      <c r="K1345">
        <v>11691</v>
      </c>
      <c r="L1345" t="s">
        <v>4275</v>
      </c>
      <c r="M1345" t="s">
        <v>4275</v>
      </c>
      <c r="O1345" t="s">
        <v>4283</v>
      </c>
      <c r="P1345" t="s">
        <v>5493</v>
      </c>
      <c r="Q1345" t="s">
        <v>5732</v>
      </c>
      <c r="R1345" t="s">
        <v>5753</v>
      </c>
      <c r="T1345" t="s">
        <v>4276</v>
      </c>
      <c r="V1345" t="s">
        <v>5767</v>
      </c>
      <c r="W1345" t="s">
        <v>5773</v>
      </c>
      <c r="X1345" t="s">
        <v>5789</v>
      </c>
      <c r="Y1345">
        <v>1836</v>
      </c>
      <c r="Z1345" t="s">
        <v>5803</v>
      </c>
      <c r="AA1345" t="s">
        <v>5809</v>
      </c>
      <c r="AC1345" t="s">
        <v>7057</v>
      </c>
      <c r="AE1345" t="s">
        <v>9035</v>
      </c>
      <c r="AF1345">
        <v>3</v>
      </c>
      <c r="AG1345" t="s">
        <v>9269</v>
      </c>
      <c r="AH1345" t="s">
        <v>9282</v>
      </c>
      <c r="AI1345">
        <v>3</v>
      </c>
      <c r="AJ1345">
        <v>3</v>
      </c>
      <c r="AK1345">
        <v>1</v>
      </c>
      <c r="AL1345">
        <v>62.15</v>
      </c>
      <c r="AO1345" t="s">
        <v>1425</v>
      </c>
      <c r="AP1345">
        <v>15600</v>
      </c>
      <c r="AV1345">
        <v>2.6</v>
      </c>
      <c r="AW1345" t="s">
        <v>78</v>
      </c>
    </row>
    <row r="1346" spans="1:49">
      <c r="A1346" s="1">
        <f>HYPERLINK("https://cms.ls-nyc.org/matter/dynamic-profile/view/1882737","18-1882737")</f>
        <v>0</v>
      </c>
      <c r="B1346" t="s">
        <v>78</v>
      </c>
      <c r="C1346" t="s">
        <v>83</v>
      </c>
      <c r="D1346" t="s">
        <v>111</v>
      </c>
      <c r="F1346" t="s">
        <v>1241</v>
      </c>
      <c r="G1346" t="s">
        <v>2330</v>
      </c>
      <c r="H1346" t="s">
        <v>3641</v>
      </c>
      <c r="I1346" t="s">
        <v>3934</v>
      </c>
      <c r="J1346" t="s">
        <v>4252</v>
      </c>
      <c r="K1346">
        <v>11374</v>
      </c>
      <c r="L1346" t="s">
        <v>4275</v>
      </c>
      <c r="M1346" t="s">
        <v>4275</v>
      </c>
      <c r="O1346" t="s">
        <v>4282</v>
      </c>
      <c r="P1346" t="s">
        <v>5494</v>
      </c>
      <c r="Q1346" t="s">
        <v>5731</v>
      </c>
      <c r="R1346" t="s">
        <v>5753</v>
      </c>
      <c r="T1346" t="s">
        <v>4276</v>
      </c>
      <c r="V1346" t="s">
        <v>5767</v>
      </c>
      <c r="W1346" t="s">
        <v>5772</v>
      </c>
      <c r="X1346" t="s">
        <v>111</v>
      </c>
      <c r="Y1346">
        <v>1258.76</v>
      </c>
      <c r="Z1346" t="s">
        <v>5803</v>
      </c>
      <c r="AA1346" t="s">
        <v>5804</v>
      </c>
      <c r="AC1346" t="s">
        <v>7058</v>
      </c>
      <c r="AE1346" t="s">
        <v>9036</v>
      </c>
      <c r="AF1346">
        <v>36</v>
      </c>
      <c r="AG1346" t="s">
        <v>9272</v>
      </c>
      <c r="AH1346" t="s">
        <v>4280</v>
      </c>
      <c r="AI1346">
        <v>14</v>
      </c>
      <c r="AJ1346">
        <v>1</v>
      </c>
      <c r="AK1346">
        <v>0</v>
      </c>
      <c r="AL1346">
        <v>71.06999999999999</v>
      </c>
      <c r="AO1346" t="s">
        <v>1425</v>
      </c>
      <c r="AP1346">
        <v>8628</v>
      </c>
      <c r="AV1346">
        <v>0.8</v>
      </c>
      <c r="AW1346" t="s">
        <v>73</v>
      </c>
    </row>
    <row r="1347" spans="1:49">
      <c r="A1347" s="1">
        <f>HYPERLINK("https://cms.ls-nyc.org/matter/dynamic-profile/view/1872484","18-1872484")</f>
        <v>0</v>
      </c>
      <c r="B1347" t="s">
        <v>78</v>
      </c>
      <c r="C1347" t="s">
        <v>82</v>
      </c>
      <c r="D1347" t="s">
        <v>195</v>
      </c>
      <c r="E1347" t="s">
        <v>282</v>
      </c>
      <c r="F1347" t="s">
        <v>1186</v>
      </c>
      <c r="G1347" t="s">
        <v>2309</v>
      </c>
      <c r="H1347" t="s">
        <v>3642</v>
      </c>
      <c r="J1347" t="s">
        <v>4258</v>
      </c>
      <c r="K1347">
        <v>11370</v>
      </c>
      <c r="L1347" t="s">
        <v>4275</v>
      </c>
      <c r="M1347" t="s">
        <v>4275</v>
      </c>
      <c r="O1347" t="s">
        <v>4282</v>
      </c>
      <c r="P1347" t="s">
        <v>5495</v>
      </c>
      <c r="Q1347" t="s">
        <v>5732</v>
      </c>
      <c r="R1347" t="s">
        <v>5753</v>
      </c>
      <c r="S1347" t="s">
        <v>5759</v>
      </c>
      <c r="T1347" t="s">
        <v>4276</v>
      </c>
      <c r="V1347" t="s">
        <v>5767</v>
      </c>
      <c r="W1347" t="s">
        <v>5772</v>
      </c>
      <c r="X1347" t="s">
        <v>195</v>
      </c>
      <c r="Y1347">
        <v>450</v>
      </c>
      <c r="Z1347" t="s">
        <v>5803</v>
      </c>
      <c r="AA1347" t="s">
        <v>5804</v>
      </c>
      <c r="AB1347" t="s">
        <v>5821</v>
      </c>
      <c r="AC1347" t="s">
        <v>7059</v>
      </c>
      <c r="AE1347" t="s">
        <v>9037</v>
      </c>
      <c r="AF1347">
        <v>3</v>
      </c>
      <c r="AG1347" t="s">
        <v>9269</v>
      </c>
      <c r="AH1347" t="s">
        <v>4280</v>
      </c>
      <c r="AI1347">
        <v>8</v>
      </c>
      <c r="AJ1347">
        <v>1</v>
      </c>
      <c r="AK1347">
        <v>0</v>
      </c>
      <c r="AL1347">
        <v>71.17</v>
      </c>
      <c r="AO1347" t="s">
        <v>9298</v>
      </c>
      <c r="AP1347">
        <v>8640</v>
      </c>
      <c r="AV1347">
        <v>1.2</v>
      </c>
      <c r="AW1347" t="s">
        <v>54</v>
      </c>
    </row>
    <row r="1348" spans="1:49">
      <c r="A1348" s="1">
        <f>HYPERLINK("https://cms.ls-nyc.org/matter/dynamic-profile/view/1880599","18-1880599")</f>
        <v>0</v>
      </c>
      <c r="B1348" t="s">
        <v>78</v>
      </c>
      <c r="C1348" t="s">
        <v>82</v>
      </c>
      <c r="D1348" t="s">
        <v>227</v>
      </c>
      <c r="E1348" t="s">
        <v>282</v>
      </c>
      <c r="F1348" t="s">
        <v>1242</v>
      </c>
      <c r="G1348" t="s">
        <v>2331</v>
      </c>
      <c r="H1348" t="s">
        <v>3643</v>
      </c>
      <c r="I1348" t="s">
        <v>4174</v>
      </c>
      <c r="J1348" t="s">
        <v>4223</v>
      </c>
      <c r="K1348">
        <v>11423</v>
      </c>
      <c r="L1348" t="s">
        <v>4275</v>
      </c>
      <c r="M1348" t="s">
        <v>4275</v>
      </c>
      <c r="O1348" t="s">
        <v>4282</v>
      </c>
      <c r="P1348" t="s">
        <v>5496</v>
      </c>
      <c r="Q1348" t="s">
        <v>5731</v>
      </c>
      <c r="R1348" t="s">
        <v>5753</v>
      </c>
      <c r="S1348" t="s">
        <v>5759</v>
      </c>
      <c r="T1348" t="s">
        <v>4276</v>
      </c>
      <c r="V1348" t="s">
        <v>5767</v>
      </c>
      <c r="W1348" t="s">
        <v>5774</v>
      </c>
      <c r="X1348" t="s">
        <v>207</v>
      </c>
      <c r="Y1348">
        <v>1300</v>
      </c>
      <c r="Z1348" t="s">
        <v>5803</v>
      </c>
      <c r="AA1348" t="s">
        <v>5804</v>
      </c>
      <c r="AB1348" t="s">
        <v>5821</v>
      </c>
      <c r="AC1348" t="s">
        <v>7060</v>
      </c>
      <c r="AD1348" t="s">
        <v>7771</v>
      </c>
      <c r="AE1348" t="s">
        <v>9038</v>
      </c>
      <c r="AF1348">
        <v>42</v>
      </c>
      <c r="AG1348" t="s">
        <v>9270</v>
      </c>
      <c r="AH1348" t="s">
        <v>4280</v>
      </c>
      <c r="AI1348">
        <v>10</v>
      </c>
      <c r="AJ1348">
        <v>1</v>
      </c>
      <c r="AK1348">
        <v>3</v>
      </c>
      <c r="AL1348">
        <v>72.51000000000001</v>
      </c>
      <c r="AO1348" t="s">
        <v>1425</v>
      </c>
      <c r="AP1348">
        <v>18200</v>
      </c>
      <c r="AV1348">
        <v>1.3</v>
      </c>
      <c r="AW1348" t="s">
        <v>54</v>
      </c>
    </row>
    <row r="1349" spans="1:49">
      <c r="A1349" s="1">
        <f>HYPERLINK("https://cms.ls-nyc.org/matter/dynamic-profile/view/1890955","19-1890955")</f>
        <v>0</v>
      </c>
      <c r="B1349" t="s">
        <v>78</v>
      </c>
      <c r="C1349" t="s">
        <v>83</v>
      </c>
      <c r="D1349" t="s">
        <v>98</v>
      </c>
      <c r="F1349" t="s">
        <v>1243</v>
      </c>
      <c r="G1349" t="s">
        <v>2332</v>
      </c>
      <c r="H1349" t="s">
        <v>3044</v>
      </c>
      <c r="I1349" t="s">
        <v>4175</v>
      </c>
      <c r="J1349" t="s">
        <v>4241</v>
      </c>
      <c r="K1349">
        <v>11368</v>
      </c>
      <c r="L1349" t="s">
        <v>4275</v>
      </c>
      <c r="M1349" t="s">
        <v>4275</v>
      </c>
      <c r="O1349" t="s">
        <v>4282</v>
      </c>
      <c r="P1349" t="s">
        <v>5497</v>
      </c>
      <c r="Q1349" t="s">
        <v>5731</v>
      </c>
      <c r="R1349" t="s">
        <v>5753</v>
      </c>
      <c r="T1349" t="s">
        <v>4276</v>
      </c>
      <c r="V1349" t="s">
        <v>5767</v>
      </c>
      <c r="W1349" t="s">
        <v>5772</v>
      </c>
      <c r="X1349" t="s">
        <v>98</v>
      </c>
      <c r="Y1349">
        <v>1754.8</v>
      </c>
      <c r="Z1349" t="s">
        <v>5803</v>
      </c>
      <c r="AA1349" t="s">
        <v>5804</v>
      </c>
      <c r="AC1349" t="s">
        <v>7061</v>
      </c>
      <c r="AE1349" t="s">
        <v>9039</v>
      </c>
      <c r="AF1349">
        <v>0</v>
      </c>
      <c r="AG1349" t="s">
        <v>9270</v>
      </c>
      <c r="AH1349" t="s">
        <v>4280</v>
      </c>
      <c r="AI1349">
        <v>32</v>
      </c>
      <c r="AJ1349">
        <v>2</v>
      </c>
      <c r="AK1349">
        <v>1</v>
      </c>
      <c r="AL1349">
        <v>73.14</v>
      </c>
      <c r="AO1349" t="s">
        <v>9312</v>
      </c>
      <c r="AP1349">
        <v>15600</v>
      </c>
      <c r="AV1349">
        <v>1.1</v>
      </c>
      <c r="AW1349" t="s">
        <v>54</v>
      </c>
    </row>
    <row r="1350" spans="1:49">
      <c r="A1350" s="1">
        <f>HYPERLINK("https://cms.ls-nyc.org/matter/dynamic-profile/view/1874400","18-1874400")</f>
        <v>0</v>
      </c>
      <c r="B1350" t="s">
        <v>78</v>
      </c>
      <c r="C1350" t="s">
        <v>82</v>
      </c>
      <c r="D1350" t="s">
        <v>212</v>
      </c>
      <c r="E1350" t="s">
        <v>203</v>
      </c>
      <c r="F1350" t="s">
        <v>1244</v>
      </c>
      <c r="G1350" t="s">
        <v>2333</v>
      </c>
      <c r="H1350" t="s">
        <v>3644</v>
      </c>
      <c r="J1350" t="s">
        <v>4243</v>
      </c>
      <c r="K1350">
        <v>11691</v>
      </c>
      <c r="L1350" t="s">
        <v>4275</v>
      </c>
      <c r="M1350" t="s">
        <v>4275</v>
      </c>
      <c r="O1350" t="s">
        <v>4283</v>
      </c>
      <c r="P1350" t="s">
        <v>5498</v>
      </c>
      <c r="Q1350" t="s">
        <v>5732</v>
      </c>
      <c r="R1350" t="s">
        <v>5753</v>
      </c>
      <c r="S1350" t="s">
        <v>5759</v>
      </c>
      <c r="T1350" t="s">
        <v>4276</v>
      </c>
      <c r="V1350" t="s">
        <v>5767</v>
      </c>
      <c r="W1350" t="s">
        <v>5772</v>
      </c>
      <c r="X1350" t="s">
        <v>212</v>
      </c>
      <c r="Y1350">
        <v>800</v>
      </c>
      <c r="Z1350" t="s">
        <v>5803</v>
      </c>
      <c r="AA1350" t="s">
        <v>5804</v>
      </c>
      <c r="AB1350" t="s">
        <v>5821</v>
      </c>
      <c r="AC1350" t="s">
        <v>7062</v>
      </c>
      <c r="AD1350" t="s">
        <v>7772</v>
      </c>
      <c r="AE1350" t="s">
        <v>9040</v>
      </c>
      <c r="AF1350">
        <v>2</v>
      </c>
      <c r="AG1350" t="s">
        <v>9269</v>
      </c>
      <c r="AH1350" t="s">
        <v>9284</v>
      </c>
      <c r="AI1350">
        <v>4</v>
      </c>
      <c r="AJ1350">
        <v>1</v>
      </c>
      <c r="AK1350">
        <v>0</v>
      </c>
      <c r="AL1350">
        <v>74.14</v>
      </c>
      <c r="AO1350" t="s">
        <v>9298</v>
      </c>
      <c r="AP1350">
        <v>9000</v>
      </c>
      <c r="AV1350">
        <v>1.7</v>
      </c>
      <c r="AW1350" t="s">
        <v>73</v>
      </c>
    </row>
    <row r="1351" spans="1:49">
      <c r="A1351" s="1">
        <f>HYPERLINK("https://cms.ls-nyc.org/matter/dynamic-profile/view/1880135","18-1880135")</f>
        <v>0</v>
      </c>
      <c r="B1351" t="s">
        <v>78</v>
      </c>
      <c r="C1351" t="s">
        <v>83</v>
      </c>
      <c r="D1351" t="s">
        <v>184</v>
      </c>
      <c r="F1351" t="s">
        <v>452</v>
      </c>
      <c r="G1351" t="s">
        <v>2334</v>
      </c>
      <c r="H1351" t="s">
        <v>3645</v>
      </c>
      <c r="I1351">
        <v>2</v>
      </c>
      <c r="J1351" t="s">
        <v>4256</v>
      </c>
      <c r="K1351">
        <v>11411</v>
      </c>
      <c r="L1351" t="s">
        <v>4275</v>
      </c>
      <c r="M1351" t="s">
        <v>4275</v>
      </c>
      <c r="O1351" t="s">
        <v>4282</v>
      </c>
      <c r="P1351" t="s">
        <v>5499</v>
      </c>
      <c r="Q1351" t="s">
        <v>5732</v>
      </c>
      <c r="R1351" t="s">
        <v>5753</v>
      </c>
      <c r="T1351" t="s">
        <v>4276</v>
      </c>
      <c r="V1351" t="s">
        <v>5767</v>
      </c>
      <c r="W1351" t="s">
        <v>5774</v>
      </c>
      <c r="Y1351">
        <v>1000</v>
      </c>
      <c r="Z1351" t="s">
        <v>5803</v>
      </c>
      <c r="AA1351" t="s">
        <v>5804</v>
      </c>
      <c r="AC1351" t="s">
        <v>7063</v>
      </c>
      <c r="AE1351" t="s">
        <v>9041</v>
      </c>
      <c r="AF1351">
        <v>0</v>
      </c>
      <c r="AG1351" t="s">
        <v>9270</v>
      </c>
      <c r="AH1351" t="s">
        <v>9282</v>
      </c>
      <c r="AI1351">
        <v>3</v>
      </c>
      <c r="AJ1351">
        <v>1</v>
      </c>
      <c r="AK1351">
        <v>0</v>
      </c>
      <c r="AL1351">
        <v>74.14</v>
      </c>
      <c r="AO1351" t="s">
        <v>9298</v>
      </c>
      <c r="AP1351">
        <v>9000</v>
      </c>
      <c r="AV1351">
        <v>0.9</v>
      </c>
      <c r="AW1351" t="s">
        <v>54</v>
      </c>
    </row>
    <row r="1352" spans="1:49">
      <c r="A1352" s="1">
        <f>HYPERLINK("https://cms.ls-nyc.org/matter/dynamic-profile/view/1894176","19-1894176")</f>
        <v>0</v>
      </c>
      <c r="B1352" t="s">
        <v>78</v>
      </c>
      <c r="C1352" t="s">
        <v>83</v>
      </c>
      <c r="D1352" t="s">
        <v>211</v>
      </c>
      <c r="F1352" t="s">
        <v>1245</v>
      </c>
      <c r="G1352" t="s">
        <v>843</v>
      </c>
      <c r="H1352" t="s">
        <v>3646</v>
      </c>
      <c r="I1352" t="s">
        <v>4176</v>
      </c>
      <c r="J1352" t="s">
        <v>4247</v>
      </c>
      <c r="K1352">
        <v>11415</v>
      </c>
      <c r="L1352" t="s">
        <v>4275</v>
      </c>
      <c r="M1352" t="s">
        <v>4275</v>
      </c>
      <c r="O1352" t="s">
        <v>4282</v>
      </c>
      <c r="P1352" t="s">
        <v>5500</v>
      </c>
      <c r="Q1352" t="s">
        <v>5731</v>
      </c>
      <c r="R1352" t="s">
        <v>5751</v>
      </c>
      <c r="T1352" t="s">
        <v>4276</v>
      </c>
      <c r="V1352" t="s">
        <v>5767</v>
      </c>
      <c r="W1352" t="s">
        <v>5774</v>
      </c>
      <c r="Y1352">
        <v>1212.32</v>
      </c>
      <c r="Z1352" t="s">
        <v>5803</v>
      </c>
      <c r="AA1352" t="s">
        <v>5806</v>
      </c>
      <c r="AC1352" t="s">
        <v>7064</v>
      </c>
      <c r="AD1352" t="s">
        <v>7773</v>
      </c>
      <c r="AE1352" t="s">
        <v>9042</v>
      </c>
      <c r="AF1352">
        <v>54</v>
      </c>
      <c r="AG1352" t="s">
        <v>9272</v>
      </c>
      <c r="AH1352" t="s">
        <v>9287</v>
      </c>
      <c r="AI1352">
        <v>24</v>
      </c>
      <c r="AJ1352">
        <v>1</v>
      </c>
      <c r="AK1352">
        <v>0</v>
      </c>
      <c r="AL1352">
        <v>76.06</v>
      </c>
      <c r="AO1352" t="s">
        <v>1425</v>
      </c>
      <c r="AP1352">
        <v>9500</v>
      </c>
      <c r="AV1352">
        <v>2.5</v>
      </c>
      <c r="AW1352" t="s">
        <v>78</v>
      </c>
    </row>
    <row r="1353" spans="1:49">
      <c r="A1353" s="1">
        <f>HYPERLINK("https://cms.ls-nyc.org/matter/dynamic-profile/view/1898775","19-1898775")</f>
        <v>0</v>
      </c>
      <c r="B1353" t="s">
        <v>78</v>
      </c>
      <c r="C1353" t="s">
        <v>83</v>
      </c>
      <c r="D1353" t="s">
        <v>93</v>
      </c>
      <c r="F1353" t="s">
        <v>376</v>
      </c>
      <c r="G1353" t="s">
        <v>1385</v>
      </c>
      <c r="H1353" t="s">
        <v>2678</v>
      </c>
      <c r="I1353" t="s">
        <v>4177</v>
      </c>
      <c r="J1353" t="s">
        <v>4258</v>
      </c>
      <c r="K1353">
        <v>11369</v>
      </c>
      <c r="L1353" t="s">
        <v>4275</v>
      </c>
      <c r="M1353" t="s">
        <v>4275</v>
      </c>
      <c r="O1353" t="s">
        <v>4282</v>
      </c>
      <c r="P1353" t="s">
        <v>5501</v>
      </c>
      <c r="Q1353" t="s">
        <v>5732</v>
      </c>
      <c r="R1353" t="s">
        <v>5751</v>
      </c>
      <c r="T1353" t="s">
        <v>4276</v>
      </c>
      <c r="V1353" t="s">
        <v>5767</v>
      </c>
      <c r="X1353" t="s">
        <v>93</v>
      </c>
      <c r="Y1353">
        <v>1396</v>
      </c>
      <c r="Z1353" t="s">
        <v>5803</v>
      </c>
      <c r="AA1353" t="s">
        <v>5804</v>
      </c>
      <c r="AC1353" t="s">
        <v>6021</v>
      </c>
      <c r="AE1353" t="s">
        <v>9043</v>
      </c>
      <c r="AF1353">
        <v>2</v>
      </c>
      <c r="AI1353">
        <v>11</v>
      </c>
      <c r="AJ1353">
        <v>3</v>
      </c>
      <c r="AK1353">
        <v>0</v>
      </c>
      <c r="AL1353">
        <v>84.89</v>
      </c>
      <c r="AO1353" t="s">
        <v>9298</v>
      </c>
      <c r="AP1353">
        <v>18108</v>
      </c>
      <c r="AV1353">
        <v>6.2</v>
      </c>
      <c r="AW1353" t="s">
        <v>9547</v>
      </c>
    </row>
    <row r="1354" spans="1:49">
      <c r="A1354" s="1">
        <f>HYPERLINK("https://cms.ls-nyc.org/matter/dynamic-profile/view/1878284","18-1878284")</f>
        <v>0</v>
      </c>
      <c r="B1354" t="s">
        <v>78</v>
      </c>
      <c r="C1354" t="s">
        <v>82</v>
      </c>
      <c r="D1354" t="s">
        <v>137</v>
      </c>
      <c r="E1354" t="s">
        <v>99</v>
      </c>
      <c r="F1354" t="s">
        <v>1246</v>
      </c>
      <c r="G1354" t="s">
        <v>1453</v>
      </c>
      <c r="H1354" t="s">
        <v>2558</v>
      </c>
      <c r="I1354" t="s">
        <v>3883</v>
      </c>
      <c r="J1354" t="s">
        <v>4240</v>
      </c>
      <c r="K1354">
        <v>11373</v>
      </c>
      <c r="L1354" t="s">
        <v>4275</v>
      </c>
      <c r="M1354" t="s">
        <v>4275</v>
      </c>
      <c r="N1354" t="s">
        <v>4278</v>
      </c>
      <c r="O1354" t="s">
        <v>4281</v>
      </c>
      <c r="P1354" t="s">
        <v>5502</v>
      </c>
      <c r="Q1354" t="s">
        <v>5731</v>
      </c>
      <c r="R1354" t="s">
        <v>5751</v>
      </c>
      <c r="S1354" t="s">
        <v>5758</v>
      </c>
      <c r="T1354" t="s">
        <v>4276</v>
      </c>
      <c r="V1354" t="s">
        <v>5767</v>
      </c>
      <c r="W1354" t="s">
        <v>5772</v>
      </c>
      <c r="X1354" t="s">
        <v>126</v>
      </c>
      <c r="Y1354">
        <v>1449</v>
      </c>
      <c r="Z1354" t="s">
        <v>5803</v>
      </c>
      <c r="AA1354" t="s">
        <v>5805</v>
      </c>
      <c r="AB1354" t="s">
        <v>5820</v>
      </c>
      <c r="AC1354" t="s">
        <v>7065</v>
      </c>
      <c r="AD1354" t="s">
        <v>7289</v>
      </c>
      <c r="AF1354">
        <v>58</v>
      </c>
      <c r="AG1354" t="s">
        <v>9272</v>
      </c>
      <c r="AH1354" t="s">
        <v>4280</v>
      </c>
      <c r="AI1354">
        <v>2</v>
      </c>
      <c r="AJ1354">
        <v>3</v>
      </c>
      <c r="AK1354">
        <v>0</v>
      </c>
      <c r="AL1354">
        <v>84.93000000000001</v>
      </c>
      <c r="AO1354" t="s">
        <v>1425</v>
      </c>
      <c r="AP1354">
        <v>17649</v>
      </c>
      <c r="AR1354" t="s">
        <v>9327</v>
      </c>
      <c r="AS1354" t="s">
        <v>5806</v>
      </c>
      <c r="AT1354" t="s">
        <v>9370</v>
      </c>
      <c r="AU1354" t="s">
        <v>9375</v>
      </c>
      <c r="AV1354">
        <v>6.6</v>
      </c>
      <c r="AW1354" t="s">
        <v>73</v>
      </c>
    </row>
    <row r="1355" spans="1:49">
      <c r="A1355" s="1">
        <f>HYPERLINK("https://cms.ls-nyc.org/matter/dynamic-profile/view/1882255","18-1882255")</f>
        <v>0</v>
      </c>
      <c r="B1355" t="s">
        <v>78</v>
      </c>
      <c r="C1355" t="s">
        <v>83</v>
      </c>
      <c r="D1355" t="s">
        <v>253</v>
      </c>
      <c r="F1355" t="s">
        <v>1247</v>
      </c>
      <c r="G1355" t="s">
        <v>2335</v>
      </c>
      <c r="H1355" t="s">
        <v>3647</v>
      </c>
      <c r="I1355" t="s">
        <v>3996</v>
      </c>
      <c r="J1355" t="s">
        <v>4227</v>
      </c>
      <c r="K1355">
        <v>11365</v>
      </c>
      <c r="L1355" t="s">
        <v>4275</v>
      </c>
      <c r="M1355" t="s">
        <v>4275</v>
      </c>
      <c r="O1355" t="s">
        <v>4282</v>
      </c>
      <c r="P1355" t="s">
        <v>5503</v>
      </c>
      <c r="Q1355" t="s">
        <v>5733</v>
      </c>
      <c r="R1355" t="s">
        <v>5751</v>
      </c>
      <c r="T1355" t="s">
        <v>4276</v>
      </c>
      <c r="V1355" t="s">
        <v>5768</v>
      </c>
      <c r="X1355" t="s">
        <v>253</v>
      </c>
      <c r="Y1355">
        <v>485</v>
      </c>
      <c r="Z1355" t="s">
        <v>5803</v>
      </c>
      <c r="AA1355" t="s">
        <v>5807</v>
      </c>
      <c r="AC1355" t="s">
        <v>7066</v>
      </c>
      <c r="AE1355" t="s">
        <v>9044</v>
      </c>
      <c r="AF1355">
        <v>28</v>
      </c>
      <c r="AG1355" t="s">
        <v>9271</v>
      </c>
      <c r="AH1355" t="s">
        <v>4280</v>
      </c>
      <c r="AI1355">
        <v>18</v>
      </c>
      <c r="AJ1355">
        <v>1</v>
      </c>
      <c r="AK1355">
        <v>0</v>
      </c>
      <c r="AL1355">
        <v>88.17</v>
      </c>
      <c r="AO1355" t="s">
        <v>1425</v>
      </c>
      <c r="AP1355">
        <v>10704</v>
      </c>
      <c r="AV1355">
        <v>2.8</v>
      </c>
      <c r="AW1355" t="s">
        <v>54</v>
      </c>
    </row>
    <row r="1356" spans="1:49">
      <c r="A1356" s="1">
        <f>HYPERLINK("https://cms.ls-nyc.org/matter/dynamic-profile/view/1898572","19-1898572")</f>
        <v>0</v>
      </c>
      <c r="B1356" t="s">
        <v>78</v>
      </c>
      <c r="C1356" t="s">
        <v>83</v>
      </c>
      <c r="D1356" t="s">
        <v>141</v>
      </c>
      <c r="F1356" t="s">
        <v>735</v>
      </c>
      <c r="G1356" t="s">
        <v>2336</v>
      </c>
      <c r="H1356" t="s">
        <v>2941</v>
      </c>
      <c r="J1356" t="s">
        <v>4222</v>
      </c>
      <c r="K1356">
        <v>11436</v>
      </c>
      <c r="L1356" t="s">
        <v>4277</v>
      </c>
      <c r="M1356" t="s">
        <v>4275</v>
      </c>
      <c r="O1356" t="s">
        <v>4282</v>
      </c>
      <c r="P1356" t="s">
        <v>5504</v>
      </c>
      <c r="Q1356" t="s">
        <v>5732</v>
      </c>
      <c r="R1356" t="s">
        <v>5753</v>
      </c>
      <c r="T1356" t="s">
        <v>4276</v>
      </c>
      <c r="V1356" t="s">
        <v>5767</v>
      </c>
      <c r="W1356" t="s">
        <v>5771</v>
      </c>
      <c r="Y1356">
        <v>1800</v>
      </c>
      <c r="Z1356" t="s">
        <v>5803</v>
      </c>
      <c r="AC1356" t="s">
        <v>7067</v>
      </c>
      <c r="AE1356" t="s">
        <v>9045</v>
      </c>
      <c r="AF1356">
        <v>3</v>
      </c>
      <c r="AH1356" t="s">
        <v>4280</v>
      </c>
      <c r="AI1356">
        <v>1</v>
      </c>
      <c r="AJ1356">
        <v>1</v>
      </c>
      <c r="AK1356">
        <v>2</v>
      </c>
      <c r="AL1356">
        <v>89.08</v>
      </c>
      <c r="AP1356">
        <v>19000</v>
      </c>
      <c r="AV1356">
        <v>0.7</v>
      </c>
      <c r="AW1356" t="s">
        <v>78</v>
      </c>
    </row>
    <row r="1357" spans="1:49">
      <c r="A1357" s="1">
        <f>HYPERLINK("https://cms.ls-nyc.org/matter/dynamic-profile/view/1873283","18-1873283")</f>
        <v>0</v>
      </c>
      <c r="B1357" t="s">
        <v>78</v>
      </c>
      <c r="C1357" t="s">
        <v>82</v>
      </c>
      <c r="D1357" t="s">
        <v>133</v>
      </c>
      <c r="E1357" t="s">
        <v>282</v>
      </c>
      <c r="F1357" t="s">
        <v>1248</v>
      </c>
      <c r="G1357" t="s">
        <v>2337</v>
      </c>
      <c r="H1357" t="s">
        <v>3648</v>
      </c>
      <c r="I1357" t="s">
        <v>4012</v>
      </c>
      <c r="J1357" t="s">
        <v>4227</v>
      </c>
      <c r="K1357">
        <v>11365</v>
      </c>
      <c r="L1357" t="s">
        <v>4275</v>
      </c>
      <c r="M1357" t="s">
        <v>4275</v>
      </c>
      <c r="O1357" t="s">
        <v>4282</v>
      </c>
      <c r="P1357" t="s">
        <v>5505</v>
      </c>
      <c r="Q1357" t="s">
        <v>5731</v>
      </c>
      <c r="R1357" t="s">
        <v>5753</v>
      </c>
      <c r="S1357" t="s">
        <v>5759</v>
      </c>
      <c r="T1357" t="s">
        <v>4276</v>
      </c>
      <c r="V1357" t="s">
        <v>5767</v>
      </c>
      <c r="W1357" t="s">
        <v>5773</v>
      </c>
      <c r="X1357" t="s">
        <v>133</v>
      </c>
      <c r="Y1357">
        <v>800</v>
      </c>
      <c r="Z1357" t="s">
        <v>5803</v>
      </c>
      <c r="AA1357" t="s">
        <v>5804</v>
      </c>
      <c r="AB1357" t="s">
        <v>5821</v>
      </c>
      <c r="AC1357" t="s">
        <v>7068</v>
      </c>
      <c r="AE1357" t="s">
        <v>9046</v>
      </c>
      <c r="AF1357">
        <v>4</v>
      </c>
      <c r="AG1357" t="s">
        <v>9269</v>
      </c>
      <c r="AH1357" t="s">
        <v>4280</v>
      </c>
      <c r="AI1357">
        <v>1</v>
      </c>
      <c r="AJ1357">
        <v>1</v>
      </c>
      <c r="AK1357">
        <v>0</v>
      </c>
      <c r="AL1357">
        <v>90.44</v>
      </c>
      <c r="AO1357" t="s">
        <v>1425</v>
      </c>
      <c r="AP1357">
        <v>10980</v>
      </c>
      <c r="AV1357">
        <v>1.5</v>
      </c>
      <c r="AW1357" t="s">
        <v>73</v>
      </c>
    </row>
    <row r="1358" spans="1:49">
      <c r="A1358" s="1">
        <f>HYPERLINK("https://cms.ls-nyc.org/matter/dynamic-profile/view/1888674","19-1888674")</f>
        <v>0</v>
      </c>
      <c r="B1358" t="s">
        <v>78</v>
      </c>
      <c r="C1358" t="s">
        <v>83</v>
      </c>
      <c r="D1358" t="s">
        <v>125</v>
      </c>
      <c r="F1358" t="s">
        <v>1249</v>
      </c>
      <c r="G1358" t="s">
        <v>2338</v>
      </c>
      <c r="H1358" t="s">
        <v>3649</v>
      </c>
      <c r="I1358" t="s">
        <v>3878</v>
      </c>
      <c r="J1358" t="s">
        <v>4222</v>
      </c>
      <c r="K1358">
        <v>11436</v>
      </c>
      <c r="L1358" t="s">
        <v>4275</v>
      </c>
      <c r="M1358" t="s">
        <v>4277</v>
      </c>
      <c r="N1358" t="s">
        <v>4278</v>
      </c>
      <c r="O1358" t="s">
        <v>4282</v>
      </c>
      <c r="P1358" t="s">
        <v>5506</v>
      </c>
      <c r="Q1358" t="s">
        <v>5732</v>
      </c>
      <c r="R1358" t="s">
        <v>5753</v>
      </c>
      <c r="T1358" t="s">
        <v>4276</v>
      </c>
      <c r="V1358" t="s">
        <v>5767</v>
      </c>
      <c r="W1358" t="s">
        <v>5772</v>
      </c>
      <c r="Y1358">
        <v>700</v>
      </c>
      <c r="Z1358" t="s">
        <v>5803</v>
      </c>
      <c r="AA1358" t="s">
        <v>5804</v>
      </c>
      <c r="AC1358" t="s">
        <v>7069</v>
      </c>
      <c r="AD1358" t="s">
        <v>7774</v>
      </c>
      <c r="AE1358" t="s">
        <v>9047</v>
      </c>
      <c r="AF1358">
        <v>2</v>
      </c>
      <c r="AG1358" t="s">
        <v>9269</v>
      </c>
      <c r="AH1358" t="s">
        <v>4280</v>
      </c>
      <c r="AI1358">
        <v>1</v>
      </c>
      <c r="AJ1358">
        <v>1</v>
      </c>
      <c r="AK1358">
        <v>1</v>
      </c>
      <c r="AL1358">
        <v>91.64</v>
      </c>
      <c r="AP1358">
        <v>15496</v>
      </c>
      <c r="AV1358">
        <v>0.9</v>
      </c>
      <c r="AW1358" t="s">
        <v>74</v>
      </c>
    </row>
    <row r="1359" spans="1:49">
      <c r="A1359" s="1">
        <f>HYPERLINK("https://cms.ls-nyc.org/matter/dynamic-profile/view/1879501","18-1879501")</f>
        <v>0</v>
      </c>
      <c r="B1359" t="s">
        <v>78</v>
      </c>
      <c r="C1359" t="s">
        <v>83</v>
      </c>
      <c r="D1359" t="s">
        <v>128</v>
      </c>
      <c r="F1359" t="s">
        <v>1250</v>
      </c>
      <c r="G1359" t="s">
        <v>2339</v>
      </c>
      <c r="H1359" t="s">
        <v>3650</v>
      </c>
      <c r="J1359" t="s">
        <v>4251</v>
      </c>
      <c r="K1359">
        <v>11377</v>
      </c>
      <c r="L1359" t="s">
        <v>4275</v>
      </c>
      <c r="M1359" t="s">
        <v>4275</v>
      </c>
      <c r="O1359" t="s">
        <v>4282</v>
      </c>
      <c r="P1359" t="s">
        <v>5507</v>
      </c>
      <c r="Q1359" t="s">
        <v>5732</v>
      </c>
      <c r="R1359" t="s">
        <v>5753</v>
      </c>
      <c r="T1359" t="s">
        <v>4276</v>
      </c>
      <c r="V1359" t="s">
        <v>5767</v>
      </c>
      <c r="W1359" t="s">
        <v>5772</v>
      </c>
      <c r="X1359" t="s">
        <v>128</v>
      </c>
      <c r="Y1359">
        <v>2200</v>
      </c>
      <c r="Z1359" t="s">
        <v>5803</v>
      </c>
      <c r="AA1359" t="s">
        <v>5804</v>
      </c>
      <c r="AC1359" t="s">
        <v>7070</v>
      </c>
      <c r="AD1359" t="s">
        <v>7775</v>
      </c>
      <c r="AE1359" t="s">
        <v>9048</v>
      </c>
      <c r="AF1359">
        <v>1</v>
      </c>
      <c r="AG1359" t="s">
        <v>9269</v>
      </c>
      <c r="AH1359" t="s">
        <v>4280</v>
      </c>
      <c r="AI1359">
        <v>7</v>
      </c>
      <c r="AJ1359">
        <v>1</v>
      </c>
      <c r="AK1359">
        <v>4</v>
      </c>
      <c r="AL1359">
        <v>91.77</v>
      </c>
      <c r="AO1359" t="s">
        <v>9298</v>
      </c>
      <c r="AP1359">
        <v>27000</v>
      </c>
      <c r="AV1359">
        <v>1.1</v>
      </c>
      <c r="AW1359" t="s">
        <v>73</v>
      </c>
    </row>
    <row r="1360" spans="1:49">
      <c r="A1360" s="1">
        <f>HYPERLINK("https://cms.ls-nyc.org/matter/dynamic-profile/view/1875012","18-1875012")</f>
        <v>0</v>
      </c>
      <c r="B1360" t="s">
        <v>78</v>
      </c>
      <c r="C1360" t="s">
        <v>83</v>
      </c>
      <c r="D1360" t="s">
        <v>118</v>
      </c>
      <c r="F1360" t="s">
        <v>690</v>
      </c>
      <c r="G1360" t="s">
        <v>1385</v>
      </c>
      <c r="H1360" t="s">
        <v>3651</v>
      </c>
      <c r="I1360" t="s">
        <v>4178</v>
      </c>
      <c r="J1360" t="s">
        <v>4258</v>
      </c>
      <c r="K1360">
        <v>11370</v>
      </c>
      <c r="L1360" t="s">
        <v>4275</v>
      </c>
      <c r="M1360" t="s">
        <v>4275</v>
      </c>
      <c r="O1360" t="s">
        <v>4282</v>
      </c>
      <c r="P1360" t="s">
        <v>5508</v>
      </c>
      <c r="Q1360" t="s">
        <v>5731</v>
      </c>
      <c r="R1360" t="s">
        <v>5751</v>
      </c>
      <c r="T1360" t="s">
        <v>4276</v>
      </c>
      <c r="V1360" t="s">
        <v>5767</v>
      </c>
      <c r="W1360" t="s">
        <v>5772</v>
      </c>
      <c r="X1360" t="s">
        <v>118</v>
      </c>
      <c r="Y1360">
        <v>1000</v>
      </c>
      <c r="Z1360" t="s">
        <v>5803</v>
      </c>
      <c r="AA1360" t="s">
        <v>5804</v>
      </c>
      <c r="AC1360" t="s">
        <v>7071</v>
      </c>
      <c r="AD1360" t="s">
        <v>7776</v>
      </c>
      <c r="AE1360" t="s">
        <v>9049</v>
      </c>
      <c r="AF1360">
        <v>3</v>
      </c>
      <c r="AG1360" t="s">
        <v>9269</v>
      </c>
      <c r="AH1360" t="s">
        <v>4280</v>
      </c>
      <c r="AI1360">
        <v>10</v>
      </c>
      <c r="AJ1360">
        <v>1</v>
      </c>
      <c r="AK1360">
        <v>0</v>
      </c>
      <c r="AL1360">
        <v>94.89</v>
      </c>
      <c r="AO1360" t="s">
        <v>1425</v>
      </c>
      <c r="AP1360">
        <v>11520</v>
      </c>
      <c r="AV1360">
        <v>27.62</v>
      </c>
      <c r="AW1360" t="s">
        <v>54</v>
      </c>
    </row>
    <row r="1361" spans="1:49">
      <c r="A1361" s="1">
        <f>HYPERLINK("https://cms.ls-nyc.org/matter/dynamic-profile/view/1873084","18-1873084")</f>
        <v>0</v>
      </c>
      <c r="B1361" t="s">
        <v>78</v>
      </c>
      <c r="C1361" t="s">
        <v>82</v>
      </c>
      <c r="D1361" t="s">
        <v>224</v>
      </c>
      <c r="E1361" t="s">
        <v>128</v>
      </c>
      <c r="F1361" t="s">
        <v>339</v>
      </c>
      <c r="G1361" t="s">
        <v>1426</v>
      </c>
      <c r="H1361" t="s">
        <v>3652</v>
      </c>
      <c r="I1361" t="s">
        <v>3856</v>
      </c>
      <c r="J1361" t="s">
        <v>4240</v>
      </c>
      <c r="K1361">
        <v>11373</v>
      </c>
      <c r="L1361" t="s">
        <v>4275</v>
      </c>
      <c r="M1361" t="s">
        <v>4275</v>
      </c>
      <c r="O1361" t="s">
        <v>4281</v>
      </c>
      <c r="P1361" t="s">
        <v>5509</v>
      </c>
      <c r="Q1361" t="s">
        <v>5731</v>
      </c>
      <c r="R1361" t="s">
        <v>5753</v>
      </c>
      <c r="S1361" t="s">
        <v>5759</v>
      </c>
      <c r="T1361" t="s">
        <v>4276</v>
      </c>
      <c r="V1361" t="s">
        <v>5767</v>
      </c>
      <c r="W1361" t="s">
        <v>5771</v>
      </c>
      <c r="X1361" t="s">
        <v>5794</v>
      </c>
      <c r="Y1361">
        <v>2500</v>
      </c>
      <c r="Z1361" t="s">
        <v>5803</v>
      </c>
      <c r="AA1361" t="s">
        <v>5804</v>
      </c>
      <c r="AB1361" t="s">
        <v>5821</v>
      </c>
      <c r="AC1361" t="s">
        <v>7072</v>
      </c>
      <c r="AD1361" t="s">
        <v>7777</v>
      </c>
      <c r="AE1361" t="s">
        <v>9050</v>
      </c>
      <c r="AF1361">
        <v>127</v>
      </c>
      <c r="AG1361" t="s">
        <v>9272</v>
      </c>
      <c r="AH1361" t="s">
        <v>4280</v>
      </c>
      <c r="AI1361">
        <v>2</v>
      </c>
      <c r="AJ1361">
        <v>2</v>
      </c>
      <c r="AK1361">
        <v>2</v>
      </c>
      <c r="AL1361">
        <v>95.62</v>
      </c>
      <c r="AO1361" t="s">
        <v>1425</v>
      </c>
      <c r="AP1361">
        <v>24000</v>
      </c>
      <c r="AT1361" t="s">
        <v>9370</v>
      </c>
      <c r="AU1361" t="s">
        <v>9525</v>
      </c>
      <c r="AV1361">
        <v>3.7</v>
      </c>
      <c r="AW1361" t="s">
        <v>73</v>
      </c>
    </row>
    <row r="1362" spans="1:49">
      <c r="A1362" s="1">
        <f>HYPERLINK("https://cms.ls-nyc.org/matter/dynamic-profile/view/1886226","18-1886226")</f>
        <v>0</v>
      </c>
      <c r="B1362" t="s">
        <v>78</v>
      </c>
      <c r="C1362" t="s">
        <v>83</v>
      </c>
      <c r="D1362" t="s">
        <v>182</v>
      </c>
      <c r="F1362" t="s">
        <v>376</v>
      </c>
      <c r="G1362" t="s">
        <v>2340</v>
      </c>
      <c r="H1362" t="s">
        <v>3653</v>
      </c>
      <c r="I1362" t="s">
        <v>3838</v>
      </c>
      <c r="J1362" t="s">
        <v>4241</v>
      </c>
      <c r="K1362">
        <v>11368</v>
      </c>
      <c r="L1362" t="s">
        <v>4275</v>
      </c>
      <c r="M1362" t="s">
        <v>4275</v>
      </c>
      <c r="O1362" t="s">
        <v>4282</v>
      </c>
      <c r="P1362" t="s">
        <v>5510</v>
      </c>
      <c r="Q1362" t="s">
        <v>5731</v>
      </c>
      <c r="R1362" t="s">
        <v>5753</v>
      </c>
      <c r="T1362" t="s">
        <v>4276</v>
      </c>
      <c r="V1362" t="s">
        <v>5767</v>
      </c>
      <c r="W1362" t="s">
        <v>5772</v>
      </c>
      <c r="X1362" t="s">
        <v>182</v>
      </c>
      <c r="Y1362">
        <v>1800</v>
      </c>
      <c r="Z1362" t="s">
        <v>5803</v>
      </c>
      <c r="AA1362" t="s">
        <v>5804</v>
      </c>
      <c r="AC1362" t="s">
        <v>7073</v>
      </c>
      <c r="AD1362" t="s">
        <v>7778</v>
      </c>
      <c r="AE1362" t="s">
        <v>9051</v>
      </c>
      <c r="AF1362">
        <v>18</v>
      </c>
      <c r="AG1362" t="s">
        <v>9269</v>
      </c>
      <c r="AH1362" t="s">
        <v>4280</v>
      </c>
      <c r="AI1362">
        <v>6</v>
      </c>
      <c r="AJ1362">
        <v>1</v>
      </c>
      <c r="AK1362">
        <v>3</v>
      </c>
      <c r="AL1362">
        <v>95.62</v>
      </c>
      <c r="AO1362" t="s">
        <v>1425</v>
      </c>
      <c r="AP1362">
        <v>24000</v>
      </c>
      <c r="AV1362">
        <v>1.6</v>
      </c>
      <c r="AW1362" t="s">
        <v>73</v>
      </c>
    </row>
    <row r="1363" spans="1:49">
      <c r="A1363" s="1">
        <f>HYPERLINK("https://cms.ls-nyc.org/matter/dynamic-profile/view/1875151","18-1875151")</f>
        <v>0</v>
      </c>
      <c r="B1363" t="s">
        <v>78</v>
      </c>
      <c r="C1363" t="s">
        <v>82</v>
      </c>
      <c r="D1363" t="s">
        <v>177</v>
      </c>
      <c r="E1363" t="s">
        <v>203</v>
      </c>
      <c r="F1363" t="s">
        <v>482</v>
      </c>
      <c r="G1363" t="s">
        <v>1825</v>
      </c>
      <c r="H1363" t="s">
        <v>3654</v>
      </c>
      <c r="I1363" t="s">
        <v>3878</v>
      </c>
      <c r="J1363" t="s">
        <v>4222</v>
      </c>
      <c r="K1363">
        <v>11435</v>
      </c>
      <c r="L1363" t="s">
        <v>4275</v>
      </c>
      <c r="M1363" t="s">
        <v>4275</v>
      </c>
      <c r="O1363" t="s">
        <v>4282</v>
      </c>
      <c r="P1363" t="s">
        <v>5511</v>
      </c>
      <c r="Q1363" t="s">
        <v>5732</v>
      </c>
      <c r="R1363" t="s">
        <v>5753</v>
      </c>
      <c r="S1363" t="s">
        <v>5759</v>
      </c>
      <c r="T1363" t="s">
        <v>4276</v>
      </c>
      <c r="V1363" t="s">
        <v>5767</v>
      </c>
      <c r="W1363" t="s">
        <v>5772</v>
      </c>
      <c r="X1363" t="s">
        <v>118</v>
      </c>
      <c r="Y1363">
        <v>1000</v>
      </c>
      <c r="Z1363" t="s">
        <v>5803</v>
      </c>
      <c r="AA1363" t="s">
        <v>5804</v>
      </c>
      <c r="AB1363" t="s">
        <v>5821</v>
      </c>
      <c r="AC1363" t="s">
        <v>7074</v>
      </c>
      <c r="AE1363" t="s">
        <v>9052</v>
      </c>
      <c r="AF1363">
        <v>2</v>
      </c>
      <c r="AG1363" t="s">
        <v>9269</v>
      </c>
      <c r="AH1363" t="s">
        <v>4280</v>
      </c>
      <c r="AI1363">
        <v>3</v>
      </c>
      <c r="AJ1363">
        <v>2</v>
      </c>
      <c r="AK1363">
        <v>1</v>
      </c>
      <c r="AL1363">
        <v>96.25</v>
      </c>
      <c r="AO1363" t="s">
        <v>1425</v>
      </c>
      <c r="AP1363">
        <v>20000</v>
      </c>
      <c r="AV1363">
        <v>1.2</v>
      </c>
      <c r="AW1363" t="s">
        <v>73</v>
      </c>
    </row>
    <row r="1364" spans="1:49">
      <c r="A1364" s="1">
        <f>HYPERLINK("https://cms.ls-nyc.org/matter/dynamic-profile/view/1893554","19-1893554")</f>
        <v>0</v>
      </c>
      <c r="B1364" t="s">
        <v>78</v>
      </c>
      <c r="C1364" t="s">
        <v>83</v>
      </c>
      <c r="D1364" t="s">
        <v>209</v>
      </c>
      <c r="F1364" t="s">
        <v>1240</v>
      </c>
      <c r="G1364" t="s">
        <v>1453</v>
      </c>
      <c r="H1364" t="s">
        <v>3655</v>
      </c>
      <c r="J1364" t="s">
        <v>4241</v>
      </c>
      <c r="K1364">
        <v>11368</v>
      </c>
      <c r="L1364" t="s">
        <v>4277</v>
      </c>
      <c r="M1364" t="s">
        <v>4277</v>
      </c>
      <c r="O1364" t="s">
        <v>4283</v>
      </c>
      <c r="P1364" t="s">
        <v>5512</v>
      </c>
      <c r="Q1364" t="s">
        <v>5738</v>
      </c>
      <c r="R1364" t="s">
        <v>5755</v>
      </c>
      <c r="T1364" t="s">
        <v>4276</v>
      </c>
      <c r="V1364" t="s">
        <v>5767</v>
      </c>
      <c r="Y1364">
        <v>1300</v>
      </c>
      <c r="Z1364" t="s">
        <v>5803</v>
      </c>
      <c r="AA1364" t="s">
        <v>5807</v>
      </c>
      <c r="AC1364" t="s">
        <v>7075</v>
      </c>
      <c r="AE1364" t="s">
        <v>9053</v>
      </c>
      <c r="AF1364">
        <v>8</v>
      </c>
      <c r="AG1364" t="s">
        <v>9272</v>
      </c>
      <c r="AH1364" t="s">
        <v>4280</v>
      </c>
      <c r="AI1364">
        <v>4</v>
      </c>
      <c r="AJ1364">
        <v>1</v>
      </c>
      <c r="AK1364">
        <v>1</v>
      </c>
      <c r="AL1364">
        <v>100.53</v>
      </c>
      <c r="AO1364" t="s">
        <v>9298</v>
      </c>
      <c r="AP1364">
        <v>17000</v>
      </c>
      <c r="AV1364">
        <v>0.8</v>
      </c>
      <c r="AW1364" t="s">
        <v>78</v>
      </c>
    </row>
    <row r="1365" spans="1:49">
      <c r="A1365" s="1">
        <f>HYPERLINK("https://cms.ls-nyc.org/matter/dynamic-profile/view/1897333","19-1897333")</f>
        <v>0</v>
      </c>
      <c r="B1365" t="s">
        <v>78</v>
      </c>
      <c r="C1365" t="s">
        <v>83</v>
      </c>
      <c r="D1365" t="s">
        <v>106</v>
      </c>
      <c r="F1365" t="s">
        <v>667</v>
      </c>
      <c r="G1365" t="s">
        <v>2341</v>
      </c>
      <c r="H1365" t="s">
        <v>2525</v>
      </c>
      <c r="I1365" t="s">
        <v>4026</v>
      </c>
      <c r="J1365" t="s">
        <v>4241</v>
      </c>
      <c r="K1365">
        <v>11368</v>
      </c>
      <c r="L1365" t="s">
        <v>4275</v>
      </c>
      <c r="M1365" t="s">
        <v>4275</v>
      </c>
      <c r="O1365" t="s">
        <v>4282</v>
      </c>
      <c r="P1365" t="s">
        <v>5513</v>
      </c>
      <c r="Q1365" t="s">
        <v>5732</v>
      </c>
      <c r="R1365" t="s">
        <v>5751</v>
      </c>
      <c r="T1365" t="s">
        <v>4276</v>
      </c>
      <c r="V1365" t="s">
        <v>5767</v>
      </c>
      <c r="X1365" t="s">
        <v>106</v>
      </c>
      <c r="Y1365">
        <v>1550</v>
      </c>
      <c r="Z1365" t="s">
        <v>5803</v>
      </c>
      <c r="AA1365" t="s">
        <v>5804</v>
      </c>
      <c r="AC1365" t="s">
        <v>7076</v>
      </c>
      <c r="AE1365" t="s">
        <v>9054</v>
      </c>
      <c r="AF1365">
        <v>0</v>
      </c>
      <c r="AH1365" t="s">
        <v>4280</v>
      </c>
      <c r="AI1365">
        <v>14</v>
      </c>
      <c r="AJ1365">
        <v>2</v>
      </c>
      <c r="AK1365">
        <v>4</v>
      </c>
      <c r="AL1365">
        <v>101.19</v>
      </c>
      <c r="AO1365" t="s">
        <v>1425</v>
      </c>
      <c r="AP1365">
        <v>35000</v>
      </c>
      <c r="AV1365">
        <v>6.8</v>
      </c>
      <c r="AW1365" t="s">
        <v>54</v>
      </c>
    </row>
    <row r="1366" spans="1:49">
      <c r="A1366" s="1">
        <f>HYPERLINK("https://cms.ls-nyc.org/matter/dynamic-profile/view/1879521","18-1879521")</f>
        <v>0</v>
      </c>
      <c r="B1366" t="s">
        <v>78</v>
      </c>
      <c r="C1366" t="s">
        <v>83</v>
      </c>
      <c r="D1366" t="s">
        <v>128</v>
      </c>
      <c r="F1366" t="s">
        <v>654</v>
      </c>
      <c r="G1366" t="s">
        <v>2342</v>
      </c>
      <c r="H1366" t="s">
        <v>3656</v>
      </c>
      <c r="I1366">
        <v>5</v>
      </c>
      <c r="J1366" t="s">
        <v>4251</v>
      </c>
      <c r="K1366">
        <v>11377</v>
      </c>
      <c r="L1366" t="s">
        <v>4275</v>
      </c>
      <c r="M1366" t="s">
        <v>4275</v>
      </c>
      <c r="O1366" t="s">
        <v>4282</v>
      </c>
      <c r="P1366" t="s">
        <v>5514</v>
      </c>
      <c r="Q1366" t="s">
        <v>5731</v>
      </c>
      <c r="R1366" t="s">
        <v>5753</v>
      </c>
      <c r="T1366" t="s">
        <v>4276</v>
      </c>
      <c r="V1366" t="s">
        <v>5767</v>
      </c>
      <c r="W1366" t="s">
        <v>5772</v>
      </c>
      <c r="X1366" t="s">
        <v>128</v>
      </c>
      <c r="Y1366">
        <v>1710</v>
      </c>
      <c r="Z1366" t="s">
        <v>5803</v>
      </c>
      <c r="AA1366" t="s">
        <v>5804</v>
      </c>
      <c r="AC1366" t="s">
        <v>7077</v>
      </c>
      <c r="AE1366" t="s">
        <v>9055</v>
      </c>
      <c r="AF1366">
        <v>13</v>
      </c>
      <c r="AG1366" t="s">
        <v>9272</v>
      </c>
      <c r="AH1366" t="s">
        <v>4280</v>
      </c>
      <c r="AI1366">
        <v>4</v>
      </c>
      <c r="AJ1366">
        <v>3</v>
      </c>
      <c r="AK1366">
        <v>2</v>
      </c>
      <c r="AL1366">
        <v>101.97</v>
      </c>
      <c r="AO1366" t="s">
        <v>1425</v>
      </c>
      <c r="AP1366">
        <v>30000</v>
      </c>
      <c r="AV1366">
        <v>1.3</v>
      </c>
      <c r="AW1366" t="s">
        <v>73</v>
      </c>
    </row>
    <row r="1367" spans="1:49">
      <c r="A1367" s="1">
        <f>HYPERLINK("https://cms.ls-nyc.org/matter/dynamic-profile/view/1878099","18-1878099")</f>
        <v>0</v>
      </c>
      <c r="B1367" t="s">
        <v>78</v>
      </c>
      <c r="C1367" t="s">
        <v>83</v>
      </c>
      <c r="D1367" t="s">
        <v>188</v>
      </c>
      <c r="F1367" t="s">
        <v>1240</v>
      </c>
      <c r="G1367" t="s">
        <v>1453</v>
      </c>
      <c r="H1367" t="s">
        <v>3655</v>
      </c>
      <c r="J1367" t="s">
        <v>4241</v>
      </c>
      <c r="K1367">
        <v>11368</v>
      </c>
      <c r="L1367" t="s">
        <v>4275</v>
      </c>
      <c r="M1367" t="s">
        <v>4275</v>
      </c>
      <c r="O1367" t="s">
        <v>4282</v>
      </c>
      <c r="P1367" t="s">
        <v>5512</v>
      </c>
      <c r="Q1367" t="s">
        <v>5732</v>
      </c>
      <c r="R1367" t="s">
        <v>5751</v>
      </c>
      <c r="V1367" t="s">
        <v>5767</v>
      </c>
      <c r="W1367" t="s">
        <v>5772</v>
      </c>
      <c r="X1367" t="s">
        <v>188</v>
      </c>
      <c r="Y1367">
        <v>1300</v>
      </c>
      <c r="Z1367" t="s">
        <v>5803</v>
      </c>
      <c r="AA1367" t="s">
        <v>5804</v>
      </c>
      <c r="AC1367" t="s">
        <v>7075</v>
      </c>
      <c r="AE1367" t="s">
        <v>9053</v>
      </c>
      <c r="AF1367">
        <v>8</v>
      </c>
      <c r="AG1367" t="s">
        <v>9272</v>
      </c>
      <c r="AH1367" t="s">
        <v>4280</v>
      </c>
      <c r="AI1367">
        <v>3</v>
      </c>
      <c r="AJ1367">
        <v>1</v>
      </c>
      <c r="AK1367">
        <v>1</v>
      </c>
      <c r="AL1367">
        <v>103.28</v>
      </c>
      <c r="AO1367" t="s">
        <v>9298</v>
      </c>
      <c r="AP1367">
        <v>17000</v>
      </c>
      <c r="AV1367">
        <v>72.7</v>
      </c>
      <c r="AW1367" t="s">
        <v>74</v>
      </c>
    </row>
    <row r="1368" spans="1:49">
      <c r="A1368" s="1">
        <f>HYPERLINK("https://cms.ls-nyc.org/matter/dynamic-profile/view/1900541","19-1900541")</f>
        <v>0</v>
      </c>
      <c r="B1368" t="s">
        <v>78</v>
      </c>
      <c r="C1368" t="s">
        <v>83</v>
      </c>
      <c r="D1368" t="s">
        <v>87</v>
      </c>
      <c r="F1368" t="s">
        <v>1251</v>
      </c>
      <c r="G1368" t="s">
        <v>2343</v>
      </c>
      <c r="H1368" t="s">
        <v>3657</v>
      </c>
      <c r="I1368" t="s">
        <v>3884</v>
      </c>
      <c r="J1368" t="s">
        <v>4225</v>
      </c>
      <c r="K1368">
        <v>11385</v>
      </c>
      <c r="L1368" t="s">
        <v>4275</v>
      </c>
      <c r="M1368" t="s">
        <v>4277</v>
      </c>
      <c r="N1368" t="s">
        <v>4279</v>
      </c>
      <c r="O1368" t="s">
        <v>4281</v>
      </c>
      <c r="P1368" t="s">
        <v>5515</v>
      </c>
      <c r="Q1368" t="s">
        <v>5731</v>
      </c>
      <c r="R1368" t="s">
        <v>5751</v>
      </c>
      <c r="T1368" t="s">
        <v>4276</v>
      </c>
      <c r="V1368" t="s">
        <v>5767</v>
      </c>
      <c r="X1368" t="s">
        <v>87</v>
      </c>
      <c r="Y1368">
        <v>0</v>
      </c>
      <c r="Z1368" t="s">
        <v>5803</v>
      </c>
      <c r="AA1368" t="s">
        <v>5804</v>
      </c>
      <c r="AC1368" t="s">
        <v>7078</v>
      </c>
      <c r="AD1368" t="s">
        <v>7779</v>
      </c>
      <c r="AE1368" t="s">
        <v>9056</v>
      </c>
      <c r="AF1368">
        <v>6</v>
      </c>
      <c r="AG1368" t="s">
        <v>9270</v>
      </c>
      <c r="AH1368" t="s">
        <v>9282</v>
      </c>
      <c r="AI1368">
        <v>18</v>
      </c>
      <c r="AJ1368">
        <v>1</v>
      </c>
      <c r="AK1368">
        <v>1</v>
      </c>
      <c r="AL1368">
        <v>107.3</v>
      </c>
      <c r="AO1368" t="s">
        <v>1425</v>
      </c>
      <c r="AP1368">
        <v>18144</v>
      </c>
      <c r="AV1368">
        <v>14.9</v>
      </c>
      <c r="AW1368" t="s">
        <v>54</v>
      </c>
    </row>
    <row r="1369" spans="1:49">
      <c r="A1369" s="1">
        <f>HYPERLINK("https://cms.ls-nyc.org/matter/dynamic-profile/view/1878839","18-1878839")</f>
        <v>0</v>
      </c>
      <c r="B1369" t="s">
        <v>78</v>
      </c>
      <c r="C1369" t="s">
        <v>83</v>
      </c>
      <c r="D1369" t="s">
        <v>215</v>
      </c>
      <c r="F1369" t="s">
        <v>1180</v>
      </c>
      <c r="G1369" t="s">
        <v>2344</v>
      </c>
      <c r="H1369" t="s">
        <v>3658</v>
      </c>
      <c r="I1369" t="s">
        <v>3940</v>
      </c>
      <c r="J1369" t="s">
        <v>4241</v>
      </c>
      <c r="K1369">
        <v>11368</v>
      </c>
      <c r="L1369" t="s">
        <v>4275</v>
      </c>
      <c r="M1369" t="s">
        <v>4275</v>
      </c>
      <c r="O1369" t="s">
        <v>4282</v>
      </c>
      <c r="P1369" t="s">
        <v>5516</v>
      </c>
      <c r="Q1369" t="s">
        <v>5732</v>
      </c>
      <c r="R1369" t="s">
        <v>5753</v>
      </c>
      <c r="T1369" t="s">
        <v>4276</v>
      </c>
      <c r="V1369" t="s">
        <v>5767</v>
      </c>
      <c r="W1369" t="s">
        <v>5772</v>
      </c>
      <c r="X1369" t="s">
        <v>215</v>
      </c>
      <c r="Y1369">
        <v>725</v>
      </c>
      <c r="Z1369" t="s">
        <v>5803</v>
      </c>
      <c r="AA1369" t="s">
        <v>5804</v>
      </c>
      <c r="AC1369" t="s">
        <v>7079</v>
      </c>
      <c r="AE1369" t="s">
        <v>9057</v>
      </c>
      <c r="AF1369">
        <v>3</v>
      </c>
      <c r="AG1369" t="s">
        <v>9269</v>
      </c>
      <c r="AH1369" t="s">
        <v>4280</v>
      </c>
      <c r="AI1369">
        <v>5</v>
      </c>
      <c r="AJ1369">
        <v>1</v>
      </c>
      <c r="AK1369">
        <v>0</v>
      </c>
      <c r="AL1369">
        <v>113.28</v>
      </c>
      <c r="AO1369" t="s">
        <v>1425</v>
      </c>
      <c r="AP1369">
        <v>13752</v>
      </c>
      <c r="AV1369">
        <v>1.3</v>
      </c>
      <c r="AW1369" t="s">
        <v>73</v>
      </c>
    </row>
    <row r="1370" spans="1:49">
      <c r="A1370" s="1">
        <f>HYPERLINK("https://cms.ls-nyc.org/matter/dynamic-profile/view/1889331","19-1889331")</f>
        <v>0</v>
      </c>
      <c r="B1370" t="s">
        <v>78</v>
      </c>
      <c r="C1370" t="s">
        <v>83</v>
      </c>
      <c r="D1370" t="s">
        <v>119</v>
      </c>
      <c r="F1370" t="s">
        <v>347</v>
      </c>
      <c r="G1370" t="s">
        <v>2345</v>
      </c>
      <c r="H1370" t="s">
        <v>3659</v>
      </c>
      <c r="I1370">
        <v>521</v>
      </c>
      <c r="J1370" t="s">
        <v>4255</v>
      </c>
      <c r="K1370">
        <v>11372</v>
      </c>
      <c r="L1370" t="s">
        <v>4275</v>
      </c>
      <c r="M1370" t="s">
        <v>4275</v>
      </c>
      <c r="O1370" t="s">
        <v>4282</v>
      </c>
      <c r="P1370" t="s">
        <v>5517</v>
      </c>
      <c r="Q1370" t="s">
        <v>5731</v>
      </c>
      <c r="R1370" t="s">
        <v>5751</v>
      </c>
      <c r="T1370" t="s">
        <v>4276</v>
      </c>
      <c r="V1370" t="s">
        <v>5767</v>
      </c>
      <c r="Y1370">
        <v>850</v>
      </c>
      <c r="Z1370" t="s">
        <v>5803</v>
      </c>
      <c r="AA1370" t="s">
        <v>5804</v>
      </c>
      <c r="AC1370" t="s">
        <v>7080</v>
      </c>
      <c r="AD1370" t="s">
        <v>7780</v>
      </c>
      <c r="AE1370" t="s">
        <v>9058</v>
      </c>
      <c r="AF1370">
        <v>84</v>
      </c>
      <c r="AG1370" t="s">
        <v>9270</v>
      </c>
      <c r="AH1370" t="s">
        <v>9287</v>
      </c>
      <c r="AI1370">
        <v>43</v>
      </c>
      <c r="AJ1370">
        <v>1</v>
      </c>
      <c r="AK1370">
        <v>0</v>
      </c>
      <c r="AL1370">
        <v>116.64</v>
      </c>
      <c r="AO1370" t="s">
        <v>1425</v>
      </c>
      <c r="AP1370">
        <v>14568</v>
      </c>
      <c r="AV1370">
        <v>19.87</v>
      </c>
      <c r="AW1370" t="s">
        <v>54</v>
      </c>
    </row>
    <row r="1371" spans="1:49">
      <c r="A1371" s="1">
        <f>HYPERLINK("https://cms.ls-nyc.org/matter/dynamic-profile/view/1890918","19-1890918")</f>
        <v>0</v>
      </c>
      <c r="B1371" t="s">
        <v>78</v>
      </c>
      <c r="C1371" t="s">
        <v>83</v>
      </c>
      <c r="D1371" t="s">
        <v>158</v>
      </c>
      <c r="F1371" t="s">
        <v>1005</v>
      </c>
      <c r="G1371" t="s">
        <v>1820</v>
      </c>
      <c r="H1371" t="s">
        <v>3660</v>
      </c>
      <c r="I1371" t="s">
        <v>4045</v>
      </c>
      <c r="J1371" t="s">
        <v>4225</v>
      </c>
      <c r="K1371">
        <v>11385</v>
      </c>
      <c r="L1371" t="s">
        <v>4275</v>
      </c>
      <c r="M1371" t="s">
        <v>4275</v>
      </c>
      <c r="O1371" t="s">
        <v>4281</v>
      </c>
      <c r="P1371" t="s">
        <v>5518</v>
      </c>
      <c r="Q1371" t="s">
        <v>5731</v>
      </c>
      <c r="R1371" t="s">
        <v>5753</v>
      </c>
      <c r="T1371" t="s">
        <v>4276</v>
      </c>
      <c r="V1371" t="s">
        <v>5767</v>
      </c>
      <c r="W1371" t="s">
        <v>5775</v>
      </c>
      <c r="Y1371">
        <v>1508</v>
      </c>
      <c r="Z1371" t="s">
        <v>5803</v>
      </c>
      <c r="AA1371" t="s">
        <v>5804</v>
      </c>
      <c r="AC1371" t="s">
        <v>6289</v>
      </c>
      <c r="AE1371" t="s">
        <v>9059</v>
      </c>
      <c r="AF1371">
        <v>0</v>
      </c>
      <c r="AG1371" t="s">
        <v>9272</v>
      </c>
      <c r="AI1371">
        <v>0</v>
      </c>
      <c r="AJ1371">
        <v>1</v>
      </c>
      <c r="AK1371">
        <v>1</v>
      </c>
      <c r="AL1371">
        <v>119.31</v>
      </c>
      <c r="AP1371">
        <v>20176</v>
      </c>
      <c r="AV1371">
        <v>0.6</v>
      </c>
      <c r="AW1371" t="s">
        <v>78</v>
      </c>
    </row>
    <row r="1372" spans="1:49">
      <c r="A1372" s="1">
        <f>HYPERLINK("https://cms.ls-nyc.org/matter/dynamic-profile/view/1883114","18-1883114")</f>
        <v>0</v>
      </c>
      <c r="B1372" t="s">
        <v>78</v>
      </c>
      <c r="C1372" t="s">
        <v>83</v>
      </c>
      <c r="D1372" t="s">
        <v>139</v>
      </c>
      <c r="F1372" t="s">
        <v>1252</v>
      </c>
      <c r="G1372" t="s">
        <v>2346</v>
      </c>
      <c r="H1372" t="s">
        <v>2757</v>
      </c>
      <c r="I1372" t="s">
        <v>3847</v>
      </c>
      <c r="J1372" t="s">
        <v>4222</v>
      </c>
      <c r="K1372">
        <v>11434</v>
      </c>
      <c r="L1372" t="s">
        <v>4275</v>
      </c>
      <c r="M1372" t="s">
        <v>4275</v>
      </c>
      <c r="O1372" t="s">
        <v>4281</v>
      </c>
      <c r="P1372" t="s">
        <v>5519</v>
      </c>
      <c r="Q1372" t="s">
        <v>5732</v>
      </c>
      <c r="R1372" t="s">
        <v>5751</v>
      </c>
      <c r="T1372" t="s">
        <v>4276</v>
      </c>
      <c r="V1372" t="s">
        <v>5767</v>
      </c>
      <c r="W1372" t="s">
        <v>5773</v>
      </c>
      <c r="X1372" t="s">
        <v>139</v>
      </c>
      <c r="Y1372">
        <v>853.42</v>
      </c>
      <c r="Z1372" t="s">
        <v>5803</v>
      </c>
      <c r="AA1372" t="s">
        <v>5805</v>
      </c>
      <c r="AC1372" t="s">
        <v>7081</v>
      </c>
      <c r="AE1372" t="s">
        <v>9060</v>
      </c>
      <c r="AF1372">
        <v>312</v>
      </c>
      <c r="AG1372" t="s">
        <v>9273</v>
      </c>
      <c r="AH1372" t="s">
        <v>4280</v>
      </c>
      <c r="AI1372">
        <v>32</v>
      </c>
      <c r="AJ1372">
        <v>2</v>
      </c>
      <c r="AK1372">
        <v>2</v>
      </c>
      <c r="AL1372">
        <v>119.52</v>
      </c>
      <c r="AO1372" t="s">
        <v>1425</v>
      </c>
      <c r="AP1372">
        <v>30000</v>
      </c>
      <c r="AV1372">
        <v>1.3</v>
      </c>
      <c r="AW1372" t="s">
        <v>54</v>
      </c>
    </row>
    <row r="1373" spans="1:49">
      <c r="A1373" s="1">
        <f>HYPERLINK("https://cms.ls-nyc.org/matter/dynamic-profile/view/1873961","18-1873961")</f>
        <v>0</v>
      </c>
      <c r="B1373" t="s">
        <v>78</v>
      </c>
      <c r="C1373" t="s">
        <v>82</v>
      </c>
      <c r="D1373" t="s">
        <v>131</v>
      </c>
      <c r="E1373" t="s">
        <v>282</v>
      </c>
      <c r="F1373" t="s">
        <v>376</v>
      </c>
      <c r="G1373" t="s">
        <v>2347</v>
      </c>
      <c r="H1373" t="s">
        <v>3631</v>
      </c>
      <c r="I1373" t="s">
        <v>4131</v>
      </c>
      <c r="J1373" t="s">
        <v>4241</v>
      </c>
      <c r="K1373">
        <v>11368</v>
      </c>
      <c r="L1373" t="s">
        <v>4275</v>
      </c>
      <c r="M1373" t="s">
        <v>4275</v>
      </c>
      <c r="O1373" t="s">
        <v>4282</v>
      </c>
      <c r="P1373" t="s">
        <v>5520</v>
      </c>
      <c r="Q1373" t="s">
        <v>5732</v>
      </c>
      <c r="R1373" t="s">
        <v>5751</v>
      </c>
      <c r="S1373" t="s">
        <v>5758</v>
      </c>
      <c r="T1373" t="s">
        <v>4276</v>
      </c>
      <c r="V1373" t="s">
        <v>5767</v>
      </c>
      <c r="W1373" t="s">
        <v>5772</v>
      </c>
      <c r="X1373" t="s">
        <v>203</v>
      </c>
      <c r="Y1373">
        <v>1900</v>
      </c>
      <c r="Z1373" t="s">
        <v>5803</v>
      </c>
      <c r="AA1373" t="s">
        <v>5804</v>
      </c>
      <c r="AB1373" t="s">
        <v>5820</v>
      </c>
      <c r="AC1373" t="s">
        <v>7082</v>
      </c>
      <c r="AD1373" t="s">
        <v>7781</v>
      </c>
      <c r="AE1373" t="s">
        <v>9061</v>
      </c>
      <c r="AF1373">
        <v>457</v>
      </c>
      <c r="AG1373" t="s">
        <v>9272</v>
      </c>
      <c r="AH1373" t="s">
        <v>4280</v>
      </c>
      <c r="AI1373">
        <v>1</v>
      </c>
      <c r="AJ1373">
        <v>1</v>
      </c>
      <c r="AK1373">
        <v>2</v>
      </c>
      <c r="AL1373">
        <v>120.31</v>
      </c>
      <c r="AO1373" t="s">
        <v>9298</v>
      </c>
      <c r="AP1373">
        <v>25000</v>
      </c>
      <c r="AS1373" t="s">
        <v>9336</v>
      </c>
      <c r="AT1373" t="s">
        <v>9369</v>
      </c>
      <c r="AU1373" t="s">
        <v>9477</v>
      </c>
      <c r="AV1373">
        <v>12.4</v>
      </c>
      <c r="AW1373" t="s">
        <v>73</v>
      </c>
    </row>
    <row r="1374" spans="1:49">
      <c r="A1374" s="1">
        <f>HYPERLINK("https://cms.ls-nyc.org/matter/dynamic-profile/view/1889365","19-1889365")</f>
        <v>0</v>
      </c>
      <c r="B1374" t="s">
        <v>78</v>
      </c>
      <c r="C1374" t="s">
        <v>83</v>
      </c>
      <c r="D1374" t="s">
        <v>119</v>
      </c>
      <c r="F1374" t="s">
        <v>773</v>
      </c>
      <c r="G1374" t="s">
        <v>1499</v>
      </c>
      <c r="H1374" t="s">
        <v>3661</v>
      </c>
      <c r="I1374" t="s">
        <v>3870</v>
      </c>
      <c r="J1374" t="s">
        <v>4240</v>
      </c>
      <c r="K1374">
        <v>11373</v>
      </c>
      <c r="L1374" t="s">
        <v>4275</v>
      </c>
      <c r="M1374" t="s">
        <v>4275</v>
      </c>
      <c r="O1374" t="s">
        <v>4281</v>
      </c>
      <c r="P1374" t="s">
        <v>5521</v>
      </c>
      <c r="Q1374" t="s">
        <v>5731</v>
      </c>
      <c r="R1374" t="s">
        <v>5751</v>
      </c>
      <c r="T1374" t="s">
        <v>4276</v>
      </c>
      <c r="V1374" t="s">
        <v>5767</v>
      </c>
      <c r="W1374" t="s">
        <v>5772</v>
      </c>
      <c r="X1374" t="s">
        <v>119</v>
      </c>
      <c r="Y1374">
        <v>1284</v>
      </c>
      <c r="Z1374" t="s">
        <v>5803</v>
      </c>
      <c r="AA1374" t="s">
        <v>5804</v>
      </c>
      <c r="AC1374" t="s">
        <v>7083</v>
      </c>
      <c r="AE1374" t="s">
        <v>9062</v>
      </c>
      <c r="AF1374">
        <v>41</v>
      </c>
      <c r="AG1374" t="s">
        <v>9272</v>
      </c>
      <c r="AH1374" t="s">
        <v>4280</v>
      </c>
      <c r="AI1374">
        <v>17</v>
      </c>
      <c r="AJ1374">
        <v>2</v>
      </c>
      <c r="AK1374">
        <v>2</v>
      </c>
      <c r="AL1374">
        <v>121.17</v>
      </c>
      <c r="AO1374" t="s">
        <v>1425</v>
      </c>
      <c r="AP1374">
        <v>31200</v>
      </c>
      <c r="AV1374">
        <v>9.699999999999999</v>
      </c>
      <c r="AW1374" t="s">
        <v>73</v>
      </c>
    </row>
    <row r="1375" spans="1:49">
      <c r="A1375" s="1">
        <f>HYPERLINK("https://cms.ls-nyc.org/matter/dynamic-profile/view/1874437","18-1874437")</f>
        <v>0</v>
      </c>
      <c r="B1375" t="s">
        <v>78</v>
      </c>
      <c r="C1375" t="s">
        <v>82</v>
      </c>
      <c r="D1375" t="s">
        <v>212</v>
      </c>
      <c r="E1375" t="s">
        <v>282</v>
      </c>
      <c r="F1375" t="s">
        <v>1253</v>
      </c>
      <c r="G1375" t="s">
        <v>2348</v>
      </c>
      <c r="H1375" t="s">
        <v>3662</v>
      </c>
      <c r="I1375" t="s">
        <v>3952</v>
      </c>
      <c r="J1375" t="s">
        <v>4239</v>
      </c>
      <c r="K1375">
        <v>11420</v>
      </c>
      <c r="L1375" t="s">
        <v>4275</v>
      </c>
      <c r="M1375" t="s">
        <v>4275</v>
      </c>
      <c r="O1375" t="s">
        <v>4282</v>
      </c>
      <c r="P1375" t="s">
        <v>5522</v>
      </c>
      <c r="Q1375" t="s">
        <v>5732</v>
      </c>
      <c r="R1375" t="s">
        <v>5753</v>
      </c>
      <c r="S1375" t="s">
        <v>5759</v>
      </c>
      <c r="T1375" t="s">
        <v>4276</v>
      </c>
      <c r="V1375" t="s">
        <v>5767</v>
      </c>
      <c r="W1375" t="s">
        <v>5772</v>
      </c>
      <c r="X1375" t="s">
        <v>189</v>
      </c>
      <c r="Y1375">
        <v>1100</v>
      </c>
      <c r="Z1375" t="s">
        <v>5803</v>
      </c>
      <c r="AA1375" t="s">
        <v>5804</v>
      </c>
      <c r="AB1375" t="s">
        <v>5821</v>
      </c>
      <c r="AC1375" t="s">
        <v>7084</v>
      </c>
      <c r="AD1375" t="s">
        <v>7782</v>
      </c>
      <c r="AE1375" t="s">
        <v>9063</v>
      </c>
      <c r="AF1375">
        <v>3</v>
      </c>
      <c r="AG1375" t="s">
        <v>9269</v>
      </c>
      <c r="AH1375" t="s">
        <v>4280</v>
      </c>
      <c r="AI1375">
        <v>1</v>
      </c>
      <c r="AJ1375">
        <v>1</v>
      </c>
      <c r="AK1375">
        <v>0</v>
      </c>
      <c r="AL1375">
        <v>123.56</v>
      </c>
      <c r="AO1375" t="s">
        <v>1425</v>
      </c>
      <c r="AP1375">
        <v>15000</v>
      </c>
      <c r="AV1375">
        <v>0.5</v>
      </c>
      <c r="AW1375" t="s">
        <v>78</v>
      </c>
    </row>
    <row r="1376" spans="1:49">
      <c r="A1376" s="1">
        <f>HYPERLINK("https://cms.ls-nyc.org/matter/dynamic-profile/view/1878499","18-1878499")</f>
        <v>0</v>
      </c>
      <c r="B1376" t="s">
        <v>78</v>
      </c>
      <c r="C1376" t="s">
        <v>82</v>
      </c>
      <c r="D1376" t="s">
        <v>146</v>
      </c>
      <c r="E1376" t="s">
        <v>282</v>
      </c>
      <c r="F1376" t="s">
        <v>1251</v>
      </c>
      <c r="G1376" t="s">
        <v>2349</v>
      </c>
      <c r="H1376" t="s">
        <v>3663</v>
      </c>
      <c r="I1376" t="s">
        <v>3892</v>
      </c>
      <c r="J1376" t="s">
        <v>4254</v>
      </c>
      <c r="K1376">
        <v>11692</v>
      </c>
      <c r="L1376" t="s">
        <v>4275</v>
      </c>
      <c r="M1376" t="s">
        <v>4275</v>
      </c>
      <c r="O1376" t="s">
        <v>4283</v>
      </c>
      <c r="P1376" t="s">
        <v>5523</v>
      </c>
      <c r="Q1376" t="s">
        <v>5731</v>
      </c>
      <c r="R1376" t="s">
        <v>5753</v>
      </c>
      <c r="S1376" t="s">
        <v>5759</v>
      </c>
      <c r="T1376" t="s">
        <v>4276</v>
      </c>
      <c r="V1376" t="s">
        <v>5767</v>
      </c>
      <c r="W1376" t="s">
        <v>5772</v>
      </c>
      <c r="X1376" t="s">
        <v>146</v>
      </c>
      <c r="Y1376">
        <v>1141.54</v>
      </c>
      <c r="Z1376" t="s">
        <v>5803</v>
      </c>
      <c r="AA1376" t="s">
        <v>5804</v>
      </c>
      <c r="AB1376" t="s">
        <v>5821</v>
      </c>
      <c r="AC1376" t="s">
        <v>7085</v>
      </c>
      <c r="AE1376" t="s">
        <v>9064</v>
      </c>
      <c r="AF1376">
        <v>30</v>
      </c>
      <c r="AG1376" t="s">
        <v>9278</v>
      </c>
      <c r="AH1376" t="s">
        <v>9282</v>
      </c>
      <c r="AI1376">
        <v>3</v>
      </c>
      <c r="AJ1376">
        <v>2</v>
      </c>
      <c r="AK1376">
        <v>2</v>
      </c>
      <c r="AL1376">
        <v>127.49</v>
      </c>
      <c r="AO1376" t="s">
        <v>1425</v>
      </c>
      <c r="AP1376">
        <v>32000</v>
      </c>
      <c r="AV1376">
        <v>1.8</v>
      </c>
      <c r="AW1376" t="s">
        <v>54</v>
      </c>
    </row>
    <row r="1377" spans="1:49">
      <c r="A1377" s="1">
        <f>HYPERLINK("https://cms.ls-nyc.org/matter/dynamic-profile/view/1900774","19-1900774")</f>
        <v>0</v>
      </c>
      <c r="B1377" t="s">
        <v>78</v>
      </c>
      <c r="C1377" t="s">
        <v>83</v>
      </c>
      <c r="D1377" t="s">
        <v>156</v>
      </c>
      <c r="F1377" t="s">
        <v>1254</v>
      </c>
      <c r="G1377" t="s">
        <v>1958</v>
      </c>
      <c r="H1377" t="s">
        <v>2594</v>
      </c>
      <c r="I1377" t="s">
        <v>4179</v>
      </c>
      <c r="J1377" t="s">
        <v>4241</v>
      </c>
      <c r="K1377">
        <v>11368</v>
      </c>
      <c r="L1377" t="s">
        <v>4275</v>
      </c>
      <c r="M1377" t="s">
        <v>4277</v>
      </c>
      <c r="N1377" t="s">
        <v>4278</v>
      </c>
      <c r="O1377" t="s">
        <v>4283</v>
      </c>
      <c r="P1377" t="s">
        <v>5524</v>
      </c>
      <c r="Q1377" t="s">
        <v>5738</v>
      </c>
      <c r="R1377" t="s">
        <v>5755</v>
      </c>
      <c r="T1377" t="s">
        <v>4275</v>
      </c>
      <c r="V1377" t="s">
        <v>5767</v>
      </c>
      <c r="W1377" t="s">
        <v>5772</v>
      </c>
      <c r="Y1377">
        <v>940</v>
      </c>
      <c r="Z1377" t="s">
        <v>5803</v>
      </c>
      <c r="AC1377" t="s">
        <v>7086</v>
      </c>
      <c r="AE1377" t="s">
        <v>9065</v>
      </c>
      <c r="AF1377">
        <v>50</v>
      </c>
      <c r="AG1377" t="s">
        <v>9272</v>
      </c>
      <c r="AI1377">
        <v>19</v>
      </c>
      <c r="AJ1377">
        <v>1</v>
      </c>
      <c r="AK1377">
        <v>0</v>
      </c>
      <c r="AL1377">
        <v>129.7</v>
      </c>
      <c r="AO1377" t="s">
        <v>1425</v>
      </c>
      <c r="AP1377">
        <v>16200</v>
      </c>
      <c r="AV1377">
        <v>0.1</v>
      </c>
      <c r="AW1377" t="s">
        <v>78</v>
      </c>
    </row>
    <row r="1378" spans="1:49">
      <c r="A1378" s="1">
        <f>HYPERLINK("https://cms.ls-nyc.org/matter/dynamic-profile/view/1901281","19-1901281")</f>
        <v>0</v>
      </c>
      <c r="B1378" t="s">
        <v>78</v>
      </c>
      <c r="C1378" t="s">
        <v>83</v>
      </c>
      <c r="D1378" t="s">
        <v>250</v>
      </c>
      <c r="F1378" t="s">
        <v>376</v>
      </c>
      <c r="G1378" t="s">
        <v>2350</v>
      </c>
      <c r="H1378" t="s">
        <v>3664</v>
      </c>
      <c r="I1378">
        <v>516</v>
      </c>
      <c r="J1378" t="s">
        <v>4229</v>
      </c>
      <c r="K1378">
        <v>11355</v>
      </c>
      <c r="L1378" t="s">
        <v>4275</v>
      </c>
      <c r="M1378" t="s">
        <v>4277</v>
      </c>
      <c r="N1378" t="s">
        <v>4278</v>
      </c>
      <c r="O1378" t="s">
        <v>4282</v>
      </c>
      <c r="P1378" t="s">
        <v>5525</v>
      </c>
      <c r="Q1378" t="s">
        <v>5732</v>
      </c>
      <c r="R1378" t="s">
        <v>5752</v>
      </c>
      <c r="T1378" t="s">
        <v>4276</v>
      </c>
      <c r="V1378" t="s">
        <v>5767</v>
      </c>
      <c r="W1378" t="s">
        <v>5772</v>
      </c>
      <c r="Y1378">
        <v>1378.85</v>
      </c>
      <c r="Z1378" t="s">
        <v>5803</v>
      </c>
      <c r="AA1378" t="s">
        <v>5804</v>
      </c>
      <c r="AC1378" t="s">
        <v>7087</v>
      </c>
      <c r="AE1378" t="s">
        <v>9066</v>
      </c>
      <c r="AF1378">
        <v>50</v>
      </c>
      <c r="AG1378" t="s">
        <v>9275</v>
      </c>
      <c r="AH1378" t="s">
        <v>4280</v>
      </c>
      <c r="AI1378">
        <v>11</v>
      </c>
      <c r="AJ1378">
        <v>4</v>
      </c>
      <c r="AK1378">
        <v>0</v>
      </c>
      <c r="AL1378">
        <v>132.04</v>
      </c>
      <c r="AO1378" t="s">
        <v>1425</v>
      </c>
      <c r="AP1378">
        <v>34000</v>
      </c>
      <c r="AV1378">
        <v>1</v>
      </c>
      <c r="AW1378" t="s">
        <v>78</v>
      </c>
    </row>
    <row r="1379" spans="1:49">
      <c r="A1379" s="1">
        <f>HYPERLINK("https://cms.ls-nyc.org/matter/dynamic-profile/view/1873251","18-1873251")</f>
        <v>0</v>
      </c>
      <c r="B1379" t="s">
        <v>78</v>
      </c>
      <c r="C1379" t="s">
        <v>83</v>
      </c>
      <c r="D1379" t="s">
        <v>133</v>
      </c>
      <c r="F1379" t="s">
        <v>1255</v>
      </c>
      <c r="G1379" t="s">
        <v>2351</v>
      </c>
      <c r="H1379" t="s">
        <v>2860</v>
      </c>
      <c r="I1379" t="s">
        <v>4149</v>
      </c>
      <c r="J1379" t="s">
        <v>4240</v>
      </c>
      <c r="K1379">
        <v>11373</v>
      </c>
      <c r="L1379" t="s">
        <v>4275</v>
      </c>
      <c r="M1379" t="s">
        <v>4275</v>
      </c>
      <c r="O1379" t="s">
        <v>4281</v>
      </c>
      <c r="P1379" t="s">
        <v>5526</v>
      </c>
      <c r="Q1379" t="s">
        <v>5731</v>
      </c>
      <c r="R1379" t="s">
        <v>5751</v>
      </c>
      <c r="T1379" t="s">
        <v>4276</v>
      </c>
      <c r="V1379" t="s">
        <v>5767</v>
      </c>
      <c r="W1379" t="s">
        <v>5772</v>
      </c>
      <c r="X1379" t="s">
        <v>133</v>
      </c>
      <c r="Y1379">
        <v>1680</v>
      </c>
      <c r="Z1379" t="s">
        <v>5803</v>
      </c>
      <c r="AA1379" t="s">
        <v>5804</v>
      </c>
      <c r="AC1379" t="s">
        <v>7088</v>
      </c>
      <c r="AD1379" t="s">
        <v>7783</v>
      </c>
      <c r="AE1379" t="s">
        <v>9067</v>
      </c>
      <c r="AF1379">
        <v>165</v>
      </c>
      <c r="AG1379" t="s">
        <v>9272</v>
      </c>
      <c r="AH1379" t="s">
        <v>4280</v>
      </c>
      <c r="AI1379">
        <v>4</v>
      </c>
      <c r="AJ1379">
        <v>3</v>
      </c>
      <c r="AK1379">
        <v>3</v>
      </c>
      <c r="AL1379">
        <v>133.37</v>
      </c>
      <c r="AO1379" t="s">
        <v>1425</v>
      </c>
      <c r="AP1379">
        <v>45000</v>
      </c>
      <c r="AV1379">
        <v>21.1</v>
      </c>
      <c r="AW1379" t="s">
        <v>73</v>
      </c>
    </row>
    <row r="1380" spans="1:49">
      <c r="A1380" s="1">
        <f>HYPERLINK("https://cms.ls-nyc.org/matter/dynamic-profile/view/1875703","18-1875703")</f>
        <v>0</v>
      </c>
      <c r="B1380" t="s">
        <v>78</v>
      </c>
      <c r="C1380" t="s">
        <v>83</v>
      </c>
      <c r="D1380" t="s">
        <v>151</v>
      </c>
      <c r="F1380" t="s">
        <v>1256</v>
      </c>
      <c r="G1380" t="s">
        <v>2352</v>
      </c>
      <c r="H1380" t="s">
        <v>3665</v>
      </c>
      <c r="I1380" t="s">
        <v>3934</v>
      </c>
      <c r="J1380" t="s">
        <v>4243</v>
      </c>
      <c r="K1380">
        <v>11691</v>
      </c>
      <c r="L1380" t="s">
        <v>4275</v>
      </c>
      <c r="M1380" t="s">
        <v>4275</v>
      </c>
      <c r="O1380" t="s">
        <v>4283</v>
      </c>
      <c r="P1380" t="s">
        <v>5527</v>
      </c>
      <c r="Q1380" t="s">
        <v>5731</v>
      </c>
      <c r="R1380" t="s">
        <v>5753</v>
      </c>
      <c r="T1380" t="s">
        <v>4276</v>
      </c>
      <c r="U1380" t="s">
        <v>4283</v>
      </c>
      <c r="V1380" t="s">
        <v>5767</v>
      </c>
      <c r="W1380" t="s">
        <v>5772</v>
      </c>
      <c r="X1380" t="s">
        <v>151</v>
      </c>
      <c r="Y1380">
        <v>1461</v>
      </c>
      <c r="Z1380" t="s">
        <v>5803</v>
      </c>
      <c r="AA1380" t="s">
        <v>5804</v>
      </c>
      <c r="AC1380" t="s">
        <v>7089</v>
      </c>
      <c r="AD1380" t="s">
        <v>7784</v>
      </c>
      <c r="AE1380" t="s">
        <v>9068</v>
      </c>
      <c r="AF1380">
        <v>60</v>
      </c>
      <c r="AG1380" t="s">
        <v>9272</v>
      </c>
      <c r="AH1380" t="s">
        <v>4280</v>
      </c>
      <c r="AI1380">
        <v>6</v>
      </c>
      <c r="AJ1380">
        <v>3</v>
      </c>
      <c r="AK1380">
        <v>0</v>
      </c>
      <c r="AL1380">
        <v>136.63</v>
      </c>
      <c r="AO1380" t="s">
        <v>1425</v>
      </c>
      <c r="AP1380">
        <v>28392</v>
      </c>
      <c r="AV1380">
        <v>1.2</v>
      </c>
      <c r="AW1380" t="s">
        <v>74</v>
      </c>
    </row>
    <row r="1381" spans="1:49">
      <c r="A1381" s="1">
        <f>HYPERLINK("https://cms.ls-nyc.org/matter/dynamic-profile/view/1882617","18-1882617")</f>
        <v>0</v>
      </c>
      <c r="B1381" t="s">
        <v>78</v>
      </c>
      <c r="C1381" t="s">
        <v>83</v>
      </c>
      <c r="D1381" t="s">
        <v>111</v>
      </c>
      <c r="F1381" t="s">
        <v>1218</v>
      </c>
      <c r="G1381" t="s">
        <v>2300</v>
      </c>
      <c r="H1381" t="s">
        <v>3604</v>
      </c>
      <c r="I1381" t="s">
        <v>4167</v>
      </c>
      <c r="J1381" t="s">
        <v>4222</v>
      </c>
      <c r="K1381">
        <v>11434</v>
      </c>
      <c r="L1381" t="s">
        <v>4275</v>
      </c>
      <c r="M1381" t="s">
        <v>4275</v>
      </c>
      <c r="O1381" t="s">
        <v>4281</v>
      </c>
      <c r="P1381" t="s">
        <v>5528</v>
      </c>
      <c r="Q1381" t="s">
        <v>5731</v>
      </c>
      <c r="R1381" t="s">
        <v>5751</v>
      </c>
      <c r="T1381" t="s">
        <v>4276</v>
      </c>
      <c r="V1381" t="s">
        <v>5767</v>
      </c>
      <c r="W1381" t="s">
        <v>5771</v>
      </c>
      <c r="X1381" t="s">
        <v>111</v>
      </c>
      <c r="Y1381">
        <v>1023</v>
      </c>
      <c r="Z1381" t="s">
        <v>5803</v>
      </c>
      <c r="AA1381" t="s">
        <v>5804</v>
      </c>
      <c r="AC1381" t="s">
        <v>7020</v>
      </c>
      <c r="AE1381" t="s">
        <v>9003</v>
      </c>
      <c r="AF1381">
        <v>77</v>
      </c>
      <c r="AH1381" t="s">
        <v>4280</v>
      </c>
      <c r="AI1381">
        <v>28</v>
      </c>
      <c r="AJ1381">
        <v>1</v>
      </c>
      <c r="AK1381">
        <v>1</v>
      </c>
      <c r="AL1381">
        <v>142.16</v>
      </c>
      <c r="AO1381" t="s">
        <v>1425</v>
      </c>
      <c r="AP1381">
        <v>23400</v>
      </c>
      <c r="AV1381">
        <v>3.7</v>
      </c>
      <c r="AW1381" t="s">
        <v>73</v>
      </c>
    </row>
    <row r="1382" spans="1:49">
      <c r="A1382" s="1">
        <f>HYPERLINK("https://cms.ls-nyc.org/matter/dynamic-profile/view/1878636","18-1878636")</f>
        <v>0</v>
      </c>
      <c r="B1382" t="s">
        <v>78</v>
      </c>
      <c r="C1382" t="s">
        <v>83</v>
      </c>
      <c r="D1382" t="s">
        <v>147</v>
      </c>
      <c r="F1382" t="s">
        <v>1257</v>
      </c>
      <c r="G1382" t="s">
        <v>2353</v>
      </c>
      <c r="H1382" t="s">
        <v>3666</v>
      </c>
      <c r="I1382">
        <v>2</v>
      </c>
      <c r="J1382" t="s">
        <v>4225</v>
      </c>
      <c r="K1382">
        <v>11385</v>
      </c>
      <c r="L1382" t="s">
        <v>4275</v>
      </c>
      <c r="M1382" t="s">
        <v>4275</v>
      </c>
      <c r="O1382" t="s">
        <v>4281</v>
      </c>
      <c r="P1382" t="s">
        <v>5529</v>
      </c>
      <c r="Q1382" t="s">
        <v>5732</v>
      </c>
      <c r="R1382" t="s">
        <v>5751</v>
      </c>
      <c r="T1382" t="s">
        <v>4276</v>
      </c>
      <c r="V1382" t="s">
        <v>5767</v>
      </c>
      <c r="W1382" t="s">
        <v>5772</v>
      </c>
      <c r="X1382" t="s">
        <v>147</v>
      </c>
      <c r="Y1382">
        <v>1500</v>
      </c>
      <c r="Z1382" t="s">
        <v>5803</v>
      </c>
      <c r="AA1382" t="s">
        <v>5804</v>
      </c>
      <c r="AC1382" t="s">
        <v>7090</v>
      </c>
      <c r="AE1382" t="s">
        <v>9069</v>
      </c>
      <c r="AF1382">
        <v>3</v>
      </c>
      <c r="AG1382" t="s">
        <v>9269</v>
      </c>
      <c r="AH1382" t="s">
        <v>9284</v>
      </c>
      <c r="AI1382">
        <v>19</v>
      </c>
      <c r="AJ1382">
        <v>2</v>
      </c>
      <c r="AK1382">
        <v>0</v>
      </c>
      <c r="AL1382">
        <v>145.81</v>
      </c>
      <c r="AO1382" t="s">
        <v>9323</v>
      </c>
      <c r="AP1382">
        <v>24000</v>
      </c>
      <c r="AV1382">
        <v>12.35</v>
      </c>
      <c r="AW1382" t="s">
        <v>54</v>
      </c>
    </row>
    <row r="1383" spans="1:49">
      <c r="A1383" s="1">
        <f>HYPERLINK("https://cms.ls-nyc.org/matter/dynamic-profile/view/1896719","19-1896719")</f>
        <v>0</v>
      </c>
      <c r="B1383" t="s">
        <v>78</v>
      </c>
      <c r="C1383" t="s">
        <v>83</v>
      </c>
      <c r="D1383" t="s">
        <v>117</v>
      </c>
      <c r="F1383" t="s">
        <v>1258</v>
      </c>
      <c r="G1383" t="s">
        <v>2354</v>
      </c>
      <c r="H1383" t="s">
        <v>3667</v>
      </c>
      <c r="J1383" t="s">
        <v>4222</v>
      </c>
      <c r="K1383">
        <v>11435</v>
      </c>
      <c r="L1383" t="s">
        <v>4275</v>
      </c>
      <c r="M1383" t="s">
        <v>4275</v>
      </c>
      <c r="O1383" t="s">
        <v>4283</v>
      </c>
      <c r="P1383" t="s">
        <v>5530</v>
      </c>
      <c r="Q1383" t="s">
        <v>5738</v>
      </c>
      <c r="R1383" t="s">
        <v>5756</v>
      </c>
      <c r="T1383" t="s">
        <v>4276</v>
      </c>
      <c r="V1383" t="s">
        <v>5767</v>
      </c>
      <c r="Y1383">
        <v>950</v>
      </c>
      <c r="Z1383" t="s">
        <v>5803</v>
      </c>
      <c r="AC1383" t="s">
        <v>7091</v>
      </c>
      <c r="AE1383" t="s">
        <v>9070</v>
      </c>
      <c r="AF1383">
        <v>10</v>
      </c>
      <c r="AG1383" t="s">
        <v>9270</v>
      </c>
      <c r="AI1383">
        <v>15</v>
      </c>
      <c r="AJ1383">
        <v>1</v>
      </c>
      <c r="AK1383">
        <v>2</v>
      </c>
      <c r="AL1383">
        <v>146.27</v>
      </c>
      <c r="AO1383" t="s">
        <v>1425</v>
      </c>
      <c r="AP1383">
        <v>31200</v>
      </c>
      <c r="AV1383">
        <v>1.9</v>
      </c>
      <c r="AW1383" t="s">
        <v>78</v>
      </c>
    </row>
    <row r="1384" spans="1:49">
      <c r="A1384" s="1">
        <f>HYPERLINK("https://cms.ls-nyc.org/matter/dynamic-profile/view/1892014","19-1892014")</f>
        <v>0</v>
      </c>
      <c r="B1384" t="s">
        <v>78</v>
      </c>
      <c r="C1384" t="s">
        <v>83</v>
      </c>
      <c r="D1384" t="s">
        <v>165</v>
      </c>
      <c r="F1384" t="s">
        <v>1258</v>
      </c>
      <c r="G1384" t="s">
        <v>2354</v>
      </c>
      <c r="H1384" t="s">
        <v>3667</v>
      </c>
      <c r="J1384" t="s">
        <v>4222</v>
      </c>
      <c r="K1384">
        <v>11435</v>
      </c>
      <c r="L1384" t="s">
        <v>4275</v>
      </c>
      <c r="M1384" t="s">
        <v>4275</v>
      </c>
      <c r="O1384" t="s">
        <v>4282</v>
      </c>
      <c r="P1384" t="s">
        <v>5531</v>
      </c>
      <c r="Q1384" t="s">
        <v>5732</v>
      </c>
      <c r="R1384" t="s">
        <v>5751</v>
      </c>
      <c r="T1384" t="s">
        <v>4276</v>
      </c>
      <c r="V1384" t="s">
        <v>5767</v>
      </c>
      <c r="Y1384">
        <v>950</v>
      </c>
      <c r="Z1384" t="s">
        <v>5803</v>
      </c>
      <c r="AA1384" t="s">
        <v>5804</v>
      </c>
      <c r="AC1384" t="s">
        <v>7091</v>
      </c>
      <c r="AE1384" t="s">
        <v>9070</v>
      </c>
      <c r="AF1384">
        <v>0</v>
      </c>
      <c r="AG1384" t="s">
        <v>9270</v>
      </c>
      <c r="AH1384" t="s">
        <v>4280</v>
      </c>
      <c r="AI1384">
        <v>12</v>
      </c>
      <c r="AJ1384">
        <v>1</v>
      </c>
      <c r="AK1384">
        <v>2</v>
      </c>
      <c r="AL1384">
        <v>146.27</v>
      </c>
      <c r="AO1384" t="s">
        <v>1425</v>
      </c>
      <c r="AP1384">
        <v>31200</v>
      </c>
      <c r="AV1384">
        <v>30.05</v>
      </c>
      <c r="AW1384" t="s">
        <v>54</v>
      </c>
    </row>
    <row r="1385" spans="1:49">
      <c r="A1385" s="1">
        <f>HYPERLINK("https://cms.ls-nyc.org/matter/dynamic-profile/view/1876257","18-1876257")</f>
        <v>0</v>
      </c>
      <c r="B1385" t="s">
        <v>78</v>
      </c>
      <c r="C1385" t="s">
        <v>82</v>
      </c>
      <c r="D1385" t="s">
        <v>194</v>
      </c>
      <c r="E1385" t="s">
        <v>282</v>
      </c>
      <c r="F1385" t="s">
        <v>475</v>
      </c>
      <c r="G1385" t="s">
        <v>1385</v>
      </c>
      <c r="H1385" t="s">
        <v>3668</v>
      </c>
      <c r="I1385" t="s">
        <v>4180</v>
      </c>
      <c r="J1385" t="s">
        <v>4241</v>
      </c>
      <c r="K1385">
        <v>11368</v>
      </c>
      <c r="L1385" t="s">
        <v>4275</v>
      </c>
      <c r="M1385" t="s">
        <v>4275</v>
      </c>
      <c r="O1385" t="s">
        <v>4282</v>
      </c>
      <c r="P1385" t="s">
        <v>5532</v>
      </c>
      <c r="Q1385" t="s">
        <v>5731</v>
      </c>
      <c r="R1385" t="s">
        <v>5751</v>
      </c>
      <c r="S1385" t="s">
        <v>5758</v>
      </c>
      <c r="T1385" t="s">
        <v>4275</v>
      </c>
      <c r="V1385" t="s">
        <v>5767</v>
      </c>
      <c r="W1385" t="s">
        <v>5774</v>
      </c>
      <c r="X1385" t="s">
        <v>194</v>
      </c>
      <c r="Y1385">
        <v>2010</v>
      </c>
      <c r="Z1385" t="s">
        <v>5803</v>
      </c>
      <c r="AA1385" t="s">
        <v>5804</v>
      </c>
      <c r="AB1385" t="s">
        <v>5820</v>
      </c>
      <c r="AC1385" t="s">
        <v>6001</v>
      </c>
      <c r="AE1385" t="s">
        <v>8009</v>
      </c>
      <c r="AF1385">
        <v>100</v>
      </c>
      <c r="AG1385" t="s">
        <v>9270</v>
      </c>
      <c r="AH1385" t="s">
        <v>4280</v>
      </c>
      <c r="AI1385">
        <v>1</v>
      </c>
      <c r="AJ1385">
        <v>3</v>
      </c>
      <c r="AK1385">
        <v>2</v>
      </c>
      <c r="AL1385">
        <v>147.27</v>
      </c>
      <c r="AO1385" t="s">
        <v>1425</v>
      </c>
      <c r="AP1385">
        <v>43326</v>
      </c>
      <c r="AR1385" t="s">
        <v>9326</v>
      </c>
      <c r="AS1385" t="s">
        <v>9336</v>
      </c>
      <c r="AT1385" t="s">
        <v>9369</v>
      </c>
      <c r="AU1385" t="s">
        <v>9492</v>
      </c>
      <c r="AV1385">
        <v>5</v>
      </c>
      <c r="AW1385" t="s">
        <v>54</v>
      </c>
    </row>
    <row r="1386" spans="1:49">
      <c r="A1386" s="1">
        <f>HYPERLINK("https://cms.ls-nyc.org/matter/dynamic-profile/view/1875740","18-1875740")</f>
        <v>0</v>
      </c>
      <c r="B1386" t="s">
        <v>78</v>
      </c>
      <c r="C1386" t="s">
        <v>82</v>
      </c>
      <c r="D1386" t="s">
        <v>151</v>
      </c>
      <c r="E1386" t="s">
        <v>225</v>
      </c>
      <c r="F1386" t="s">
        <v>1259</v>
      </c>
      <c r="G1386" t="s">
        <v>2355</v>
      </c>
      <c r="H1386" t="s">
        <v>3669</v>
      </c>
      <c r="I1386" t="s">
        <v>3945</v>
      </c>
      <c r="J1386" t="s">
        <v>4222</v>
      </c>
      <c r="K1386">
        <v>11433</v>
      </c>
      <c r="L1386" t="s">
        <v>4275</v>
      </c>
      <c r="M1386" t="s">
        <v>4275</v>
      </c>
      <c r="O1386" t="s">
        <v>4281</v>
      </c>
      <c r="P1386" t="s">
        <v>5533</v>
      </c>
      <c r="Q1386" t="s">
        <v>5732</v>
      </c>
      <c r="R1386" t="s">
        <v>5751</v>
      </c>
      <c r="S1386" t="s">
        <v>5758</v>
      </c>
      <c r="T1386" t="s">
        <v>4275</v>
      </c>
      <c r="V1386" t="s">
        <v>5767</v>
      </c>
      <c r="W1386" t="s">
        <v>5772</v>
      </c>
      <c r="X1386" t="s">
        <v>151</v>
      </c>
      <c r="Y1386">
        <v>2200</v>
      </c>
      <c r="Z1386" t="s">
        <v>5803</v>
      </c>
      <c r="AA1386" t="s">
        <v>5804</v>
      </c>
      <c r="AB1386" t="s">
        <v>5822</v>
      </c>
      <c r="AC1386" t="s">
        <v>151</v>
      </c>
      <c r="AE1386" t="s">
        <v>9071</v>
      </c>
      <c r="AF1386">
        <v>4</v>
      </c>
      <c r="AG1386" t="s">
        <v>9269</v>
      </c>
      <c r="AH1386" t="s">
        <v>4280</v>
      </c>
      <c r="AI1386">
        <v>3</v>
      </c>
      <c r="AJ1386">
        <v>2</v>
      </c>
      <c r="AK1386">
        <v>0</v>
      </c>
      <c r="AL1386">
        <v>151.88</v>
      </c>
      <c r="AO1386" t="s">
        <v>1425</v>
      </c>
      <c r="AP1386">
        <v>25000</v>
      </c>
      <c r="AS1386" t="s">
        <v>5806</v>
      </c>
      <c r="AT1386" t="s">
        <v>9370</v>
      </c>
      <c r="AU1386" t="s">
        <v>9439</v>
      </c>
      <c r="AV1386">
        <v>5.8</v>
      </c>
      <c r="AW1386" t="s">
        <v>74</v>
      </c>
    </row>
    <row r="1387" spans="1:49">
      <c r="A1387" s="1">
        <f>HYPERLINK("https://cms.ls-nyc.org/matter/dynamic-profile/view/1886046","18-1886046")</f>
        <v>0</v>
      </c>
      <c r="B1387" t="s">
        <v>78</v>
      </c>
      <c r="C1387" t="s">
        <v>83</v>
      </c>
      <c r="D1387" t="s">
        <v>191</v>
      </c>
      <c r="F1387" t="s">
        <v>1260</v>
      </c>
      <c r="G1387" t="s">
        <v>2356</v>
      </c>
      <c r="H1387" t="s">
        <v>3670</v>
      </c>
      <c r="I1387" t="s">
        <v>3864</v>
      </c>
      <c r="J1387" t="s">
        <v>4249</v>
      </c>
      <c r="K1387">
        <v>11429</v>
      </c>
      <c r="L1387" t="s">
        <v>4275</v>
      </c>
      <c r="M1387" t="s">
        <v>4275</v>
      </c>
      <c r="O1387" t="s">
        <v>4282</v>
      </c>
      <c r="P1387" t="s">
        <v>5534</v>
      </c>
      <c r="Q1387" t="s">
        <v>5732</v>
      </c>
      <c r="R1387" t="s">
        <v>5753</v>
      </c>
      <c r="T1387" t="s">
        <v>4276</v>
      </c>
      <c r="V1387" t="s">
        <v>5767</v>
      </c>
      <c r="W1387" t="s">
        <v>5772</v>
      </c>
      <c r="X1387" t="s">
        <v>191</v>
      </c>
      <c r="Y1387">
        <v>1650</v>
      </c>
      <c r="Z1387" t="s">
        <v>5803</v>
      </c>
      <c r="AA1387" t="s">
        <v>5804</v>
      </c>
      <c r="AC1387" t="s">
        <v>7092</v>
      </c>
      <c r="AE1387" t="s">
        <v>9072</v>
      </c>
      <c r="AF1387">
        <v>2</v>
      </c>
      <c r="AG1387" t="s">
        <v>9269</v>
      </c>
      <c r="AH1387" t="s">
        <v>4280</v>
      </c>
      <c r="AI1387">
        <v>5</v>
      </c>
      <c r="AJ1387">
        <v>3</v>
      </c>
      <c r="AK1387">
        <v>0</v>
      </c>
      <c r="AL1387">
        <v>156.9</v>
      </c>
      <c r="AO1387" t="s">
        <v>1425</v>
      </c>
      <c r="AP1387">
        <v>32604</v>
      </c>
      <c r="AV1387">
        <v>0.7</v>
      </c>
      <c r="AW1387" t="s">
        <v>73</v>
      </c>
    </row>
    <row r="1388" spans="1:49">
      <c r="A1388" s="1">
        <f>HYPERLINK("https://cms.ls-nyc.org/matter/dynamic-profile/view/1897339","19-1897339")</f>
        <v>0</v>
      </c>
      <c r="B1388" t="s">
        <v>78</v>
      </c>
      <c r="C1388" t="s">
        <v>83</v>
      </c>
      <c r="D1388" t="s">
        <v>106</v>
      </c>
      <c r="F1388" t="s">
        <v>581</v>
      </c>
      <c r="G1388" t="s">
        <v>2357</v>
      </c>
      <c r="H1388" t="s">
        <v>3671</v>
      </c>
      <c r="I1388" t="s">
        <v>3867</v>
      </c>
      <c r="J1388" t="s">
        <v>4235</v>
      </c>
      <c r="K1388">
        <v>11421</v>
      </c>
      <c r="L1388" t="s">
        <v>4275</v>
      </c>
      <c r="M1388" t="s">
        <v>4275</v>
      </c>
      <c r="O1388" t="s">
        <v>4282</v>
      </c>
      <c r="P1388" t="s">
        <v>5535</v>
      </c>
      <c r="Q1388" t="s">
        <v>5732</v>
      </c>
      <c r="R1388" t="s">
        <v>5752</v>
      </c>
      <c r="T1388" t="s">
        <v>4276</v>
      </c>
      <c r="V1388" t="s">
        <v>5767</v>
      </c>
      <c r="X1388" t="s">
        <v>106</v>
      </c>
      <c r="Y1388">
        <v>1375</v>
      </c>
      <c r="Z1388" t="s">
        <v>5803</v>
      </c>
      <c r="AA1388" t="s">
        <v>5804</v>
      </c>
      <c r="AC1388" t="s">
        <v>7093</v>
      </c>
      <c r="AE1388" t="s">
        <v>9073</v>
      </c>
      <c r="AF1388">
        <v>0</v>
      </c>
      <c r="AH1388" t="s">
        <v>4280</v>
      </c>
      <c r="AI1388">
        <v>6</v>
      </c>
      <c r="AJ1388">
        <v>3</v>
      </c>
      <c r="AK1388">
        <v>0</v>
      </c>
      <c r="AL1388">
        <v>159.4</v>
      </c>
      <c r="AO1388" t="s">
        <v>9298</v>
      </c>
      <c r="AP1388">
        <v>34000</v>
      </c>
      <c r="AV1388">
        <v>1.4</v>
      </c>
      <c r="AW1388" t="s">
        <v>54</v>
      </c>
    </row>
    <row r="1389" spans="1:49">
      <c r="A1389" s="1">
        <f>HYPERLINK("https://cms.ls-nyc.org/matter/dynamic-profile/view/1889391","19-1889391")</f>
        <v>0</v>
      </c>
      <c r="B1389" t="s">
        <v>78</v>
      </c>
      <c r="C1389" t="s">
        <v>83</v>
      </c>
      <c r="D1389" t="s">
        <v>119</v>
      </c>
      <c r="F1389" t="s">
        <v>1250</v>
      </c>
      <c r="G1389" t="s">
        <v>2119</v>
      </c>
      <c r="H1389" t="s">
        <v>3672</v>
      </c>
      <c r="I1389" t="s">
        <v>3886</v>
      </c>
      <c r="J1389" t="s">
        <v>4255</v>
      </c>
      <c r="K1389">
        <v>11372</v>
      </c>
      <c r="L1389" t="s">
        <v>4275</v>
      </c>
      <c r="M1389" t="s">
        <v>4275</v>
      </c>
      <c r="O1389" t="s">
        <v>4282</v>
      </c>
      <c r="P1389" t="s">
        <v>5536</v>
      </c>
      <c r="Q1389" t="s">
        <v>5731</v>
      </c>
      <c r="R1389" t="s">
        <v>5753</v>
      </c>
      <c r="T1389" t="s">
        <v>4276</v>
      </c>
      <c r="V1389" t="s">
        <v>5767</v>
      </c>
      <c r="W1389" t="s">
        <v>5772</v>
      </c>
      <c r="Y1389">
        <v>1907</v>
      </c>
      <c r="Z1389" t="s">
        <v>5803</v>
      </c>
      <c r="AA1389" t="s">
        <v>5804</v>
      </c>
      <c r="AC1389" t="s">
        <v>7094</v>
      </c>
      <c r="AE1389" t="s">
        <v>9074</v>
      </c>
      <c r="AF1389">
        <v>47</v>
      </c>
      <c r="AG1389" t="s">
        <v>9272</v>
      </c>
      <c r="AH1389" t="s">
        <v>4280</v>
      </c>
      <c r="AI1389">
        <v>4</v>
      </c>
      <c r="AJ1389">
        <v>1</v>
      </c>
      <c r="AK1389">
        <v>1</v>
      </c>
      <c r="AL1389">
        <v>159.67</v>
      </c>
      <c r="AO1389" t="s">
        <v>9298</v>
      </c>
      <c r="AP1389">
        <v>27000</v>
      </c>
      <c r="AV1389">
        <v>1.2</v>
      </c>
      <c r="AW1389" t="s">
        <v>73</v>
      </c>
    </row>
    <row r="1390" spans="1:49">
      <c r="A1390" s="1">
        <f>HYPERLINK("https://cms.ls-nyc.org/matter/dynamic-profile/view/1890649","19-1890649")</f>
        <v>0</v>
      </c>
      <c r="B1390" t="s">
        <v>78</v>
      </c>
      <c r="C1390" t="s">
        <v>83</v>
      </c>
      <c r="D1390" t="s">
        <v>109</v>
      </c>
      <c r="F1390" t="s">
        <v>1137</v>
      </c>
      <c r="G1390" t="s">
        <v>2215</v>
      </c>
      <c r="H1390" t="s">
        <v>3480</v>
      </c>
      <c r="I1390" t="s">
        <v>3971</v>
      </c>
      <c r="J1390" t="s">
        <v>4251</v>
      </c>
      <c r="K1390">
        <v>11377</v>
      </c>
      <c r="L1390" t="s">
        <v>4275</v>
      </c>
      <c r="M1390" t="s">
        <v>4275</v>
      </c>
      <c r="O1390" t="s">
        <v>4282</v>
      </c>
      <c r="P1390" t="s">
        <v>5313</v>
      </c>
      <c r="Q1390" t="s">
        <v>5732</v>
      </c>
      <c r="R1390" t="s">
        <v>5751</v>
      </c>
      <c r="T1390" t="s">
        <v>4276</v>
      </c>
      <c r="V1390" t="s">
        <v>5767</v>
      </c>
      <c r="W1390" t="s">
        <v>5774</v>
      </c>
      <c r="Y1390">
        <v>640</v>
      </c>
      <c r="Z1390" t="s">
        <v>5803</v>
      </c>
      <c r="AA1390" t="s">
        <v>5804</v>
      </c>
      <c r="AC1390" t="s">
        <v>6883</v>
      </c>
      <c r="AE1390" t="s">
        <v>8865</v>
      </c>
      <c r="AF1390">
        <v>2</v>
      </c>
      <c r="AG1390" t="s">
        <v>9269</v>
      </c>
      <c r="AH1390" t="s">
        <v>4280</v>
      </c>
      <c r="AI1390">
        <v>1</v>
      </c>
      <c r="AJ1390">
        <v>1</v>
      </c>
      <c r="AK1390">
        <v>0</v>
      </c>
      <c r="AL1390">
        <v>160.13</v>
      </c>
      <c r="AO1390" t="s">
        <v>1425</v>
      </c>
      <c r="AP1390">
        <v>20000</v>
      </c>
      <c r="AV1390">
        <v>29.1</v>
      </c>
      <c r="AW1390" t="s">
        <v>78</v>
      </c>
    </row>
    <row r="1391" spans="1:49">
      <c r="A1391" s="1">
        <f>HYPERLINK("https://cms.ls-nyc.org/matter/dynamic-profile/view/1901137","19-1901137")</f>
        <v>0</v>
      </c>
      <c r="B1391" t="s">
        <v>78</v>
      </c>
      <c r="C1391" t="s">
        <v>83</v>
      </c>
      <c r="D1391" t="s">
        <v>90</v>
      </c>
      <c r="F1391" t="s">
        <v>1261</v>
      </c>
      <c r="G1391" t="s">
        <v>2358</v>
      </c>
      <c r="H1391" t="s">
        <v>3673</v>
      </c>
      <c r="I1391" t="s">
        <v>4181</v>
      </c>
      <c r="J1391" t="s">
        <v>4252</v>
      </c>
      <c r="K1391">
        <v>11374</v>
      </c>
      <c r="L1391" t="s">
        <v>4275</v>
      </c>
      <c r="M1391" t="s">
        <v>4277</v>
      </c>
      <c r="N1391" t="s">
        <v>4278</v>
      </c>
      <c r="O1391" t="s">
        <v>4282</v>
      </c>
      <c r="P1391" t="s">
        <v>5537</v>
      </c>
      <c r="Q1391" t="s">
        <v>5732</v>
      </c>
      <c r="R1391" t="s">
        <v>5752</v>
      </c>
      <c r="T1391" t="s">
        <v>4276</v>
      </c>
      <c r="V1391" t="s">
        <v>5767</v>
      </c>
      <c r="W1391" t="s">
        <v>5772</v>
      </c>
      <c r="Y1391">
        <v>868</v>
      </c>
      <c r="Z1391" t="s">
        <v>5803</v>
      </c>
      <c r="AC1391" t="s">
        <v>7095</v>
      </c>
      <c r="AE1391" t="s">
        <v>9075</v>
      </c>
      <c r="AF1391">
        <v>50</v>
      </c>
      <c r="AG1391" t="s">
        <v>9272</v>
      </c>
      <c r="AH1391" t="s">
        <v>4280</v>
      </c>
      <c r="AI1391">
        <v>21</v>
      </c>
      <c r="AJ1391">
        <v>1</v>
      </c>
      <c r="AK1391">
        <v>0</v>
      </c>
      <c r="AL1391">
        <v>160.13</v>
      </c>
      <c r="AO1391" t="s">
        <v>1425</v>
      </c>
      <c r="AP1391">
        <v>20000</v>
      </c>
      <c r="AV1391">
        <v>0.9</v>
      </c>
      <c r="AW1391" t="s">
        <v>78</v>
      </c>
    </row>
    <row r="1392" spans="1:49">
      <c r="A1392" s="1">
        <f>HYPERLINK("https://cms.ls-nyc.org/matter/dynamic-profile/view/1889650","19-1889650")</f>
        <v>0</v>
      </c>
      <c r="B1392" t="s">
        <v>78</v>
      </c>
      <c r="C1392" t="s">
        <v>83</v>
      </c>
      <c r="D1392" t="s">
        <v>244</v>
      </c>
      <c r="F1392" t="s">
        <v>642</v>
      </c>
      <c r="G1392" t="s">
        <v>2359</v>
      </c>
      <c r="H1392" t="s">
        <v>3674</v>
      </c>
      <c r="I1392" t="s">
        <v>4182</v>
      </c>
      <c r="J1392" t="s">
        <v>4222</v>
      </c>
      <c r="K1392">
        <v>11434</v>
      </c>
      <c r="L1392" t="s">
        <v>4275</v>
      </c>
      <c r="M1392" t="s">
        <v>4275</v>
      </c>
      <c r="O1392" t="s">
        <v>4281</v>
      </c>
      <c r="P1392" t="s">
        <v>5538</v>
      </c>
      <c r="Q1392" t="s">
        <v>5731</v>
      </c>
      <c r="R1392" t="s">
        <v>5751</v>
      </c>
      <c r="T1392" t="s">
        <v>4276</v>
      </c>
      <c r="V1392" t="s">
        <v>5767</v>
      </c>
      <c r="W1392" t="s">
        <v>5772</v>
      </c>
      <c r="X1392" t="s">
        <v>171</v>
      </c>
      <c r="Y1392">
        <v>1112</v>
      </c>
      <c r="Z1392" t="s">
        <v>5803</v>
      </c>
      <c r="AA1392" t="s">
        <v>5804</v>
      </c>
      <c r="AC1392" t="s">
        <v>7096</v>
      </c>
      <c r="AE1392" t="s">
        <v>9076</v>
      </c>
      <c r="AF1392">
        <v>293</v>
      </c>
      <c r="AG1392" t="s">
        <v>9273</v>
      </c>
      <c r="AH1392" t="s">
        <v>4280</v>
      </c>
      <c r="AI1392">
        <v>10</v>
      </c>
      <c r="AJ1392">
        <v>1</v>
      </c>
      <c r="AK1392">
        <v>0</v>
      </c>
      <c r="AL1392">
        <v>161.7</v>
      </c>
      <c r="AO1392" t="s">
        <v>1425</v>
      </c>
      <c r="AP1392">
        <v>20196</v>
      </c>
      <c r="AV1392">
        <v>2.75</v>
      </c>
      <c r="AW1392" t="s">
        <v>73</v>
      </c>
    </row>
    <row r="1393" spans="1:49">
      <c r="A1393" s="1">
        <f>HYPERLINK("https://cms.ls-nyc.org/matter/dynamic-profile/view/1887326","19-1887326")</f>
        <v>0</v>
      </c>
      <c r="B1393" t="s">
        <v>78</v>
      </c>
      <c r="C1393" t="s">
        <v>83</v>
      </c>
      <c r="D1393" t="s">
        <v>183</v>
      </c>
      <c r="F1393" t="s">
        <v>750</v>
      </c>
      <c r="G1393" t="s">
        <v>2360</v>
      </c>
      <c r="H1393" t="s">
        <v>2857</v>
      </c>
      <c r="I1393" t="s">
        <v>4183</v>
      </c>
      <c r="J1393" t="s">
        <v>4222</v>
      </c>
      <c r="K1393">
        <v>11434</v>
      </c>
      <c r="L1393" t="s">
        <v>4277</v>
      </c>
      <c r="M1393" t="s">
        <v>4277</v>
      </c>
      <c r="O1393" t="s">
        <v>4282</v>
      </c>
      <c r="P1393" t="s">
        <v>5539</v>
      </c>
      <c r="Q1393" t="s">
        <v>5731</v>
      </c>
      <c r="T1393" t="s">
        <v>4275</v>
      </c>
      <c r="V1393" t="s">
        <v>5767</v>
      </c>
      <c r="Y1393">
        <v>702.16</v>
      </c>
      <c r="Z1393" t="s">
        <v>5803</v>
      </c>
      <c r="AA1393" t="s">
        <v>5804</v>
      </c>
      <c r="AC1393" t="s">
        <v>6429</v>
      </c>
      <c r="AE1393" t="s">
        <v>9077</v>
      </c>
      <c r="AF1393">
        <v>100</v>
      </c>
      <c r="AG1393" t="s">
        <v>9275</v>
      </c>
      <c r="AH1393" t="s">
        <v>4280</v>
      </c>
      <c r="AI1393">
        <v>13</v>
      </c>
      <c r="AJ1393">
        <v>1</v>
      </c>
      <c r="AK1393">
        <v>2</v>
      </c>
      <c r="AL1393">
        <v>165.21</v>
      </c>
      <c r="AO1393" t="s">
        <v>1425</v>
      </c>
      <c r="AP1393">
        <v>34330</v>
      </c>
      <c r="AV1393">
        <v>6.55</v>
      </c>
      <c r="AW1393" t="s">
        <v>74</v>
      </c>
    </row>
    <row r="1394" spans="1:49">
      <c r="A1394" s="1">
        <f>HYPERLINK("https://cms.ls-nyc.org/matter/dynamic-profile/view/1897503","19-1897503")</f>
        <v>0</v>
      </c>
      <c r="B1394" t="s">
        <v>78</v>
      </c>
      <c r="C1394" t="s">
        <v>83</v>
      </c>
      <c r="D1394" t="s">
        <v>237</v>
      </c>
      <c r="F1394" t="s">
        <v>1180</v>
      </c>
      <c r="G1394" t="s">
        <v>2361</v>
      </c>
      <c r="H1394" t="s">
        <v>3044</v>
      </c>
      <c r="I1394" t="s">
        <v>3903</v>
      </c>
      <c r="J1394" t="s">
        <v>4241</v>
      </c>
      <c r="K1394">
        <v>11368</v>
      </c>
      <c r="L1394" t="s">
        <v>4275</v>
      </c>
      <c r="M1394" t="s">
        <v>4275</v>
      </c>
      <c r="N1394" t="s">
        <v>4278</v>
      </c>
      <c r="O1394" t="s">
        <v>4283</v>
      </c>
      <c r="P1394" t="s">
        <v>5540</v>
      </c>
      <c r="Q1394" t="s">
        <v>5738</v>
      </c>
      <c r="R1394" t="s">
        <v>5755</v>
      </c>
      <c r="T1394" t="s">
        <v>4275</v>
      </c>
      <c r="V1394" t="s">
        <v>5767</v>
      </c>
      <c r="W1394" t="s">
        <v>5772</v>
      </c>
      <c r="Y1394">
        <v>1290</v>
      </c>
      <c r="Z1394" t="s">
        <v>5803</v>
      </c>
      <c r="AA1394" t="s">
        <v>5806</v>
      </c>
      <c r="AC1394" t="s">
        <v>7097</v>
      </c>
      <c r="AE1394" t="s">
        <v>9078</v>
      </c>
      <c r="AF1394">
        <v>70</v>
      </c>
      <c r="AG1394" t="s">
        <v>9272</v>
      </c>
      <c r="AH1394" t="s">
        <v>4280</v>
      </c>
      <c r="AI1394">
        <v>45</v>
      </c>
      <c r="AJ1394">
        <v>1</v>
      </c>
      <c r="AK1394">
        <v>0</v>
      </c>
      <c r="AL1394">
        <v>168.13</v>
      </c>
      <c r="AO1394" t="s">
        <v>1425</v>
      </c>
      <c r="AP1394">
        <v>21000</v>
      </c>
      <c r="AV1394">
        <v>0.5</v>
      </c>
      <c r="AW1394" t="s">
        <v>78</v>
      </c>
    </row>
    <row r="1395" spans="1:49">
      <c r="A1395" s="1">
        <f>HYPERLINK("https://cms.ls-nyc.org/matter/dynamic-profile/view/1876288","18-1876288")</f>
        <v>0</v>
      </c>
      <c r="B1395" t="s">
        <v>78</v>
      </c>
      <c r="C1395" t="s">
        <v>82</v>
      </c>
      <c r="D1395" t="s">
        <v>194</v>
      </c>
      <c r="E1395" t="s">
        <v>282</v>
      </c>
      <c r="F1395" t="s">
        <v>401</v>
      </c>
      <c r="G1395" t="s">
        <v>1641</v>
      </c>
      <c r="H1395" t="s">
        <v>3675</v>
      </c>
      <c r="I1395" t="s">
        <v>4184</v>
      </c>
      <c r="J1395" t="s">
        <v>4222</v>
      </c>
      <c r="K1395">
        <v>11435</v>
      </c>
      <c r="L1395" t="s">
        <v>4275</v>
      </c>
      <c r="M1395" t="s">
        <v>4275</v>
      </c>
      <c r="O1395" t="s">
        <v>4282</v>
      </c>
      <c r="P1395" t="s">
        <v>5541</v>
      </c>
      <c r="Q1395" t="s">
        <v>5731</v>
      </c>
      <c r="R1395" t="s">
        <v>5753</v>
      </c>
      <c r="S1395" t="s">
        <v>5759</v>
      </c>
      <c r="T1395" t="s">
        <v>4276</v>
      </c>
      <c r="V1395" t="s">
        <v>5767</v>
      </c>
      <c r="W1395" t="s">
        <v>5772</v>
      </c>
      <c r="X1395" t="s">
        <v>194</v>
      </c>
      <c r="Y1395">
        <v>1135</v>
      </c>
      <c r="Z1395" t="s">
        <v>5803</v>
      </c>
      <c r="AA1395" t="s">
        <v>5804</v>
      </c>
      <c r="AB1395" t="s">
        <v>5821</v>
      </c>
      <c r="AC1395" t="s">
        <v>7098</v>
      </c>
      <c r="AE1395" t="s">
        <v>9079</v>
      </c>
      <c r="AF1395">
        <v>67</v>
      </c>
      <c r="AG1395" t="s">
        <v>9270</v>
      </c>
      <c r="AH1395" t="s">
        <v>4280</v>
      </c>
      <c r="AI1395">
        <v>45</v>
      </c>
      <c r="AJ1395">
        <v>2</v>
      </c>
      <c r="AK1395">
        <v>0</v>
      </c>
      <c r="AL1395">
        <v>170.23</v>
      </c>
      <c r="AO1395" t="s">
        <v>1425</v>
      </c>
      <c r="AP1395">
        <v>28020</v>
      </c>
      <c r="AV1395">
        <v>0.9</v>
      </c>
      <c r="AW1395" t="s">
        <v>54</v>
      </c>
    </row>
    <row r="1396" spans="1:49">
      <c r="A1396" s="1">
        <f>HYPERLINK("https://cms.ls-nyc.org/matter/dynamic-profile/view/1900602","19-1900602")</f>
        <v>0</v>
      </c>
      <c r="B1396" t="s">
        <v>78</v>
      </c>
      <c r="C1396" t="s">
        <v>83</v>
      </c>
      <c r="D1396" t="s">
        <v>87</v>
      </c>
      <c r="F1396" t="s">
        <v>1262</v>
      </c>
      <c r="G1396" t="s">
        <v>2128</v>
      </c>
      <c r="H1396" t="s">
        <v>2669</v>
      </c>
      <c r="I1396" t="s">
        <v>4185</v>
      </c>
      <c r="J1396" t="s">
        <v>4241</v>
      </c>
      <c r="K1396">
        <v>11368</v>
      </c>
      <c r="L1396" t="s">
        <v>4275</v>
      </c>
      <c r="M1396" t="s">
        <v>4277</v>
      </c>
      <c r="O1396" t="s">
        <v>4283</v>
      </c>
      <c r="P1396" t="s">
        <v>5542</v>
      </c>
      <c r="Q1396" t="s">
        <v>5731</v>
      </c>
      <c r="R1396" t="s">
        <v>5752</v>
      </c>
      <c r="T1396" t="s">
        <v>4275</v>
      </c>
      <c r="V1396" t="s">
        <v>5767</v>
      </c>
      <c r="X1396" t="s">
        <v>87</v>
      </c>
      <c r="Y1396">
        <v>975</v>
      </c>
      <c r="Z1396" t="s">
        <v>5803</v>
      </c>
      <c r="AA1396" t="s">
        <v>5804</v>
      </c>
      <c r="AC1396" t="s">
        <v>7099</v>
      </c>
      <c r="AE1396" t="s">
        <v>9080</v>
      </c>
      <c r="AF1396">
        <v>0</v>
      </c>
      <c r="AI1396">
        <v>27</v>
      </c>
      <c r="AJ1396">
        <v>1</v>
      </c>
      <c r="AK1396">
        <v>0</v>
      </c>
      <c r="AL1396">
        <v>171.98</v>
      </c>
      <c r="AO1396" t="s">
        <v>1425</v>
      </c>
      <c r="AP1396">
        <v>21480</v>
      </c>
      <c r="AV1396">
        <v>2.15</v>
      </c>
      <c r="AW1396" t="s">
        <v>9547</v>
      </c>
    </row>
    <row r="1397" spans="1:49">
      <c r="A1397" s="1">
        <f>HYPERLINK("https://cms.ls-nyc.org/matter/dynamic-profile/view/1874441","18-1874441")</f>
        <v>0</v>
      </c>
      <c r="B1397" t="s">
        <v>78</v>
      </c>
      <c r="C1397" t="s">
        <v>82</v>
      </c>
      <c r="D1397" t="s">
        <v>85</v>
      </c>
      <c r="E1397" t="s">
        <v>266</v>
      </c>
      <c r="F1397" t="s">
        <v>1263</v>
      </c>
      <c r="G1397" t="s">
        <v>2227</v>
      </c>
      <c r="H1397" t="s">
        <v>3676</v>
      </c>
      <c r="I1397" t="s">
        <v>3934</v>
      </c>
      <c r="J1397" t="s">
        <v>4222</v>
      </c>
      <c r="K1397">
        <v>11435</v>
      </c>
      <c r="L1397" t="s">
        <v>4275</v>
      </c>
      <c r="M1397" t="s">
        <v>4275</v>
      </c>
      <c r="O1397" t="s">
        <v>4282</v>
      </c>
      <c r="P1397" t="s">
        <v>5543</v>
      </c>
      <c r="Q1397" t="s">
        <v>5731</v>
      </c>
      <c r="R1397" t="s">
        <v>5751</v>
      </c>
      <c r="S1397" t="s">
        <v>5758</v>
      </c>
      <c r="T1397" t="s">
        <v>4276</v>
      </c>
      <c r="V1397" t="s">
        <v>5767</v>
      </c>
      <c r="W1397" t="s">
        <v>5772</v>
      </c>
      <c r="X1397" t="s">
        <v>212</v>
      </c>
      <c r="Y1397">
        <v>802.8</v>
      </c>
      <c r="Z1397" t="s">
        <v>5803</v>
      </c>
      <c r="AA1397" t="s">
        <v>5804</v>
      </c>
      <c r="AB1397" t="s">
        <v>5820</v>
      </c>
      <c r="AC1397" t="s">
        <v>7100</v>
      </c>
      <c r="AE1397" t="s">
        <v>9081</v>
      </c>
      <c r="AF1397">
        <v>20</v>
      </c>
      <c r="AG1397" t="s">
        <v>9272</v>
      </c>
      <c r="AH1397" t="s">
        <v>9287</v>
      </c>
      <c r="AI1397">
        <v>45</v>
      </c>
      <c r="AJ1397">
        <v>1</v>
      </c>
      <c r="AK1397">
        <v>0</v>
      </c>
      <c r="AL1397">
        <v>172.98</v>
      </c>
      <c r="AO1397" t="s">
        <v>9298</v>
      </c>
      <c r="AP1397">
        <v>21000</v>
      </c>
      <c r="AS1397" t="s">
        <v>9336</v>
      </c>
      <c r="AT1397" t="s">
        <v>9369</v>
      </c>
      <c r="AU1397" t="s">
        <v>9467</v>
      </c>
      <c r="AV1397">
        <v>1.6</v>
      </c>
      <c r="AW1397" t="s">
        <v>78</v>
      </c>
    </row>
    <row r="1398" spans="1:49">
      <c r="A1398" s="1">
        <f>HYPERLINK("https://cms.ls-nyc.org/matter/dynamic-profile/view/1878139","18-1878139")</f>
        <v>0</v>
      </c>
      <c r="B1398" t="s">
        <v>78</v>
      </c>
      <c r="C1398" t="s">
        <v>83</v>
      </c>
      <c r="D1398" t="s">
        <v>188</v>
      </c>
      <c r="F1398" t="s">
        <v>1264</v>
      </c>
      <c r="G1398" t="s">
        <v>2362</v>
      </c>
      <c r="H1398" t="s">
        <v>3677</v>
      </c>
      <c r="I1398" t="s">
        <v>3952</v>
      </c>
      <c r="J1398" t="s">
        <v>4237</v>
      </c>
      <c r="K1398">
        <v>11356</v>
      </c>
      <c r="L1398" t="s">
        <v>4275</v>
      </c>
      <c r="M1398" t="s">
        <v>4277</v>
      </c>
      <c r="O1398" t="s">
        <v>4282</v>
      </c>
      <c r="P1398" t="s">
        <v>5544</v>
      </c>
      <c r="Q1398" t="s">
        <v>5732</v>
      </c>
      <c r="R1398" t="s">
        <v>5753</v>
      </c>
      <c r="V1398" t="s">
        <v>5767</v>
      </c>
      <c r="X1398" t="s">
        <v>126</v>
      </c>
      <c r="Y1398">
        <v>2250</v>
      </c>
      <c r="Z1398" t="s">
        <v>5803</v>
      </c>
      <c r="AA1398" t="s">
        <v>5804</v>
      </c>
      <c r="AC1398" t="s">
        <v>7101</v>
      </c>
      <c r="AE1398" t="s">
        <v>9082</v>
      </c>
      <c r="AF1398">
        <v>2</v>
      </c>
      <c r="AH1398" t="s">
        <v>4280</v>
      </c>
      <c r="AI1398">
        <v>2</v>
      </c>
      <c r="AJ1398">
        <v>3</v>
      </c>
      <c r="AK1398">
        <v>0</v>
      </c>
      <c r="AL1398">
        <v>173.24</v>
      </c>
      <c r="AO1398" t="s">
        <v>1425</v>
      </c>
      <c r="AP1398">
        <v>36000</v>
      </c>
      <c r="AV1398">
        <v>1.1</v>
      </c>
      <c r="AW1398" t="s">
        <v>74</v>
      </c>
    </row>
    <row r="1399" spans="1:49">
      <c r="A1399" s="1">
        <f>HYPERLINK("https://cms.ls-nyc.org/matter/dynamic-profile/view/1888602","19-1888602")</f>
        <v>0</v>
      </c>
      <c r="B1399" t="s">
        <v>78</v>
      </c>
      <c r="C1399" t="s">
        <v>83</v>
      </c>
      <c r="D1399" t="s">
        <v>125</v>
      </c>
      <c r="F1399" t="s">
        <v>1265</v>
      </c>
      <c r="G1399" t="s">
        <v>2363</v>
      </c>
      <c r="H1399" t="s">
        <v>3678</v>
      </c>
      <c r="I1399" t="s">
        <v>4186</v>
      </c>
      <c r="J1399" t="s">
        <v>4229</v>
      </c>
      <c r="K1399">
        <v>11355</v>
      </c>
      <c r="L1399" t="s">
        <v>4275</v>
      </c>
      <c r="M1399" t="s">
        <v>4275</v>
      </c>
      <c r="O1399" t="s">
        <v>4282</v>
      </c>
      <c r="P1399" t="s">
        <v>5545</v>
      </c>
      <c r="Q1399" t="s">
        <v>5731</v>
      </c>
      <c r="R1399" t="s">
        <v>5753</v>
      </c>
      <c r="T1399" t="s">
        <v>4276</v>
      </c>
      <c r="V1399" t="s">
        <v>5767</v>
      </c>
      <c r="W1399" t="s">
        <v>5771</v>
      </c>
      <c r="X1399" t="s">
        <v>125</v>
      </c>
      <c r="Y1399">
        <v>1825</v>
      </c>
      <c r="Z1399" t="s">
        <v>5803</v>
      </c>
      <c r="AA1399" t="s">
        <v>5804</v>
      </c>
      <c r="AC1399" t="s">
        <v>7102</v>
      </c>
      <c r="AE1399" t="s">
        <v>9083</v>
      </c>
      <c r="AF1399">
        <v>94</v>
      </c>
      <c r="AG1399" t="s">
        <v>9272</v>
      </c>
      <c r="AH1399" t="s">
        <v>4280</v>
      </c>
      <c r="AI1399">
        <v>2</v>
      </c>
      <c r="AJ1399">
        <v>2</v>
      </c>
      <c r="AK1399">
        <v>2</v>
      </c>
      <c r="AL1399">
        <v>175.22</v>
      </c>
      <c r="AO1399" t="s">
        <v>9298</v>
      </c>
      <c r="AP1399">
        <v>45120</v>
      </c>
      <c r="AV1399">
        <v>0.8</v>
      </c>
      <c r="AW1399" t="s">
        <v>73</v>
      </c>
    </row>
    <row r="1400" spans="1:49">
      <c r="A1400" s="1">
        <f>HYPERLINK("https://cms.ls-nyc.org/matter/dynamic-profile/view/1894241","19-1894241")</f>
        <v>0</v>
      </c>
      <c r="B1400" t="s">
        <v>78</v>
      </c>
      <c r="C1400" t="s">
        <v>83</v>
      </c>
      <c r="D1400" t="s">
        <v>211</v>
      </c>
      <c r="F1400" t="s">
        <v>490</v>
      </c>
      <c r="G1400" t="s">
        <v>2198</v>
      </c>
      <c r="H1400" t="s">
        <v>3679</v>
      </c>
      <c r="I1400" t="s">
        <v>3866</v>
      </c>
      <c r="J1400" t="s">
        <v>4225</v>
      </c>
      <c r="K1400">
        <v>11385</v>
      </c>
      <c r="L1400" t="s">
        <v>4275</v>
      </c>
      <c r="M1400" t="s">
        <v>4275</v>
      </c>
      <c r="O1400" t="s">
        <v>4281</v>
      </c>
      <c r="P1400" t="s">
        <v>5546</v>
      </c>
      <c r="Q1400" t="s">
        <v>5731</v>
      </c>
      <c r="R1400" t="s">
        <v>5751</v>
      </c>
      <c r="T1400" t="s">
        <v>4276</v>
      </c>
      <c r="V1400" t="s">
        <v>5767</v>
      </c>
      <c r="X1400" t="s">
        <v>211</v>
      </c>
      <c r="Y1400">
        <v>1110</v>
      </c>
      <c r="Z1400" t="s">
        <v>5803</v>
      </c>
      <c r="AA1400" t="s">
        <v>5804</v>
      </c>
      <c r="AC1400" t="s">
        <v>7103</v>
      </c>
      <c r="AE1400" t="s">
        <v>9084</v>
      </c>
      <c r="AF1400">
        <v>0</v>
      </c>
      <c r="AG1400" t="s">
        <v>9270</v>
      </c>
      <c r="AH1400" t="s">
        <v>4280</v>
      </c>
      <c r="AI1400">
        <v>11</v>
      </c>
      <c r="AJ1400">
        <v>1</v>
      </c>
      <c r="AK1400">
        <v>0</v>
      </c>
      <c r="AL1400">
        <v>176.14</v>
      </c>
      <c r="AO1400" t="s">
        <v>1425</v>
      </c>
      <c r="AP1400">
        <v>22000</v>
      </c>
      <c r="AV1400">
        <v>5.1</v>
      </c>
      <c r="AW1400" t="s">
        <v>54</v>
      </c>
    </row>
    <row r="1401" spans="1:49">
      <c r="A1401" s="1">
        <f>HYPERLINK("https://cms.ls-nyc.org/matter/dynamic-profile/view/1883278","18-1883278")</f>
        <v>0</v>
      </c>
      <c r="B1401" t="s">
        <v>78</v>
      </c>
      <c r="C1401" t="s">
        <v>83</v>
      </c>
      <c r="D1401" t="s">
        <v>145</v>
      </c>
      <c r="F1401" t="s">
        <v>1266</v>
      </c>
      <c r="G1401" t="s">
        <v>2364</v>
      </c>
      <c r="H1401" t="s">
        <v>3680</v>
      </c>
      <c r="J1401" t="s">
        <v>4239</v>
      </c>
      <c r="K1401">
        <v>11420</v>
      </c>
      <c r="L1401" t="s">
        <v>4275</v>
      </c>
      <c r="M1401" t="s">
        <v>4275</v>
      </c>
      <c r="O1401" t="s">
        <v>4282</v>
      </c>
      <c r="P1401" t="s">
        <v>5547</v>
      </c>
      <c r="Q1401" t="s">
        <v>5732</v>
      </c>
      <c r="R1401" t="s">
        <v>5753</v>
      </c>
      <c r="T1401" t="s">
        <v>4276</v>
      </c>
      <c r="V1401" t="s">
        <v>5767</v>
      </c>
      <c r="W1401" t="s">
        <v>5772</v>
      </c>
      <c r="X1401" t="s">
        <v>145</v>
      </c>
      <c r="Y1401">
        <v>2700</v>
      </c>
      <c r="Z1401" t="s">
        <v>5803</v>
      </c>
      <c r="AA1401" t="s">
        <v>5804</v>
      </c>
      <c r="AC1401" t="s">
        <v>7104</v>
      </c>
      <c r="AE1401" t="s">
        <v>9085</v>
      </c>
      <c r="AF1401">
        <v>1</v>
      </c>
      <c r="AG1401" t="s">
        <v>9269</v>
      </c>
      <c r="AH1401" t="s">
        <v>4280</v>
      </c>
      <c r="AI1401">
        <v>14</v>
      </c>
      <c r="AJ1401">
        <v>1</v>
      </c>
      <c r="AK1401">
        <v>0</v>
      </c>
      <c r="AL1401">
        <v>180.76</v>
      </c>
      <c r="AO1401" t="s">
        <v>1425</v>
      </c>
      <c r="AP1401">
        <v>21944</v>
      </c>
      <c r="AV1401">
        <v>1.1</v>
      </c>
      <c r="AW1401" t="s">
        <v>73</v>
      </c>
    </row>
    <row r="1402" spans="1:49">
      <c r="A1402" s="1">
        <f>HYPERLINK("https://cms.ls-nyc.org/matter/dynamic-profile/view/1880089","18-1880089")</f>
        <v>0</v>
      </c>
      <c r="B1402" t="s">
        <v>78</v>
      </c>
      <c r="C1402" t="s">
        <v>82</v>
      </c>
      <c r="D1402" t="s">
        <v>184</v>
      </c>
      <c r="E1402" t="s">
        <v>282</v>
      </c>
      <c r="F1402" t="s">
        <v>1267</v>
      </c>
      <c r="G1402" t="s">
        <v>1761</v>
      </c>
      <c r="H1402" t="s">
        <v>3681</v>
      </c>
      <c r="I1402">
        <v>2</v>
      </c>
      <c r="J1402" t="s">
        <v>4243</v>
      </c>
      <c r="K1402">
        <v>11691</v>
      </c>
      <c r="L1402" t="s">
        <v>4275</v>
      </c>
      <c r="M1402" t="s">
        <v>4275</v>
      </c>
      <c r="O1402" t="s">
        <v>4283</v>
      </c>
      <c r="P1402" t="s">
        <v>5548</v>
      </c>
      <c r="Q1402" t="s">
        <v>5732</v>
      </c>
      <c r="R1402" t="s">
        <v>5753</v>
      </c>
      <c r="S1402" t="s">
        <v>5759</v>
      </c>
      <c r="T1402" t="s">
        <v>4276</v>
      </c>
      <c r="V1402" t="s">
        <v>5767</v>
      </c>
      <c r="W1402" t="s">
        <v>5773</v>
      </c>
      <c r="X1402" t="s">
        <v>184</v>
      </c>
      <c r="Y1402">
        <v>1800</v>
      </c>
      <c r="Z1402" t="s">
        <v>5803</v>
      </c>
      <c r="AA1402" t="s">
        <v>5804</v>
      </c>
      <c r="AB1402" t="s">
        <v>5821</v>
      </c>
      <c r="AC1402" t="s">
        <v>7105</v>
      </c>
      <c r="AE1402" t="s">
        <v>9086</v>
      </c>
      <c r="AF1402">
        <v>2</v>
      </c>
      <c r="AG1402" t="s">
        <v>9269</v>
      </c>
      <c r="AH1402" t="s">
        <v>9282</v>
      </c>
      <c r="AI1402">
        <v>11</v>
      </c>
      <c r="AJ1402">
        <v>3</v>
      </c>
      <c r="AK1402">
        <v>0</v>
      </c>
      <c r="AL1402">
        <v>189.61</v>
      </c>
      <c r="AO1402" t="s">
        <v>1425</v>
      </c>
      <c r="AP1402">
        <v>39400</v>
      </c>
      <c r="AV1402">
        <v>1.2</v>
      </c>
      <c r="AW1402" t="s">
        <v>73</v>
      </c>
    </row>
    <row r="1403" spans="1:49">
      <c r="A1403" s="1">
        <f>HYPERLINK("https://cms.ls-nyc.org/matter/dynamic-profile/view/1880598","18-1880598")</f>
        <v>0</v>
      </c>
      <c r="B1403" t="s">
        <v>78</v>
      </c>
      <c r="C1403" t="s">
        <v>82</v>
      </c>
      <c r="D1403" t="s">
        <v>227</v>
      </c>
      <c r="E1403" t="s">
        <v>282</v>
      </c>
      <c r="F1403" t="s">
        <v>1137</v>
      </c>
      <c r="G1403" t="s">
        <v>1546</v>
      </c>
      <c r="H1403" t="s">
        <v>3682</v>
      </c>
      <c r="I1403" t="s">
        <v>4187</v>
      </c>
      <c r="J1403" t="s">
        <v>4243</v>
      </c>
      <c r="K1403">
        <v>11691</v>
      </c>
      <c r="L1403" t="s">
        <v>4275</v>
      </c>
      <c r="M1403" t="s">
        <v>4275</v>
      </c>
      <c r="O1403" t="s">
        <v>4283</v>
      </c>
      <c r="P1403" t="s">
        <v>5549</v>
      </c>
      <c r="Q1403" t="s">
        <v>5731</v>
      </c>
      <c r="R1403" t="s">
        <v>5753</v>
      </c>
      <c r="S1403" t="s">
        <v>5759</v>
      </c>
      <c r="T1403" t="s">
        <v>4276</v>
      </c>
      <c r="V1403" t="s">
        <v>5767</v>
      </c>
      <c r="W1403" t="s">
        <v>5772</v>
      </c>
      <c r="X1403" t="s">
        <v>227</v>
      </c>
      <c r="Y1403">
        <v>1083.95</v>
      </c>
      <c r="Z1403" t="s">
        <v>5803</v>
      </c>
      <c r="AA1403" t="s">
        <v>5804</v>
      </c>
      <c r="AB1403" t="s">
        <v>5821</v>
      </c>
      <c r="AC1403" t="s">
        <v>7106</v>
      </c>
      <c r="AE1403" t="s">
        <v>9087</v>
      </c>
      <c r="AF1403">
        <v>73</v>
      </c>
      <c r="AG1403" t="s">
        <v>9272</v>
      </c>
      <c r="AH1403" t="s">
        <v>4280</v>
      </c>
      <c r="AI1403">
        <v>37</v>
      </c>
      <c r="AJ1403">
        <v>2</v>
      </c>
      <c r="AK1403">
        <v>1</v>
      </c>
      <c r="AL1403">
        <v>191.18</v>
      </c>
      <c r="AO1403" t="s">
        <v>1425</v>
      </c>
      <c r="AP1403">
        <v>39728</v>
      </c>
      <c r="AV1403">
        <v>0.4</v>
      </c>
      <c r="AW1403" t="s">
        <v>54</v>
      </c>
    </row>
    <row r="1404" spans="1:49">
      <c r="A1404" s="1">
        <f>HYPERLINK("https://cms.ls-nyc.org/matter/dynamic-profile/view/1898608","19-1898608")</f>
        <v>0</v>
      </c>
      <c r="B1404" t="s">
        <v>78</v>
      </c>
      <c r="C1404" t="s">
        <v>83</v>
      </c>
      <c r="D1404" t="s">
        <v>141</v>
      </c>
      <c r="F1404" t="s">
        <v>762</v>
      </c>
      <c r="G1404" t="s">
        <v>1697</v>
      </c>
      <c r="H1404" t="s">
        <v>3683</v>
      </c>
      <c r="J1404" t="s">
        <v>4241</v>
      </c>
      <c r="K1404">
        <v>11368</v>
      </c>
      <c r="L1404" t="s">
        <v>4275</v>
      </c>
      <c r="M1404" t="s">
        <v>4275</v>
      </c>
      <c r="O1404" t="s">
        <v>4282</v>
      </c>
      <c r="P1404" t="s">
        <v>5550</v>
      </c>
      <c r="Q1404" t="s">
        <v>5731</v>
      </c>
      <c r="R1404" t="s">
        <v>5753</v>
      </c>
      <c r="T1404" t="s">
        <v>4276</v>
      </c>
      <c r="V1404" t="s">
        <v>5767</v>
      </c>
      <c r="W1404" t="s">
        <v>5774</v>
      </c>
      <c r="Y1404">
        <v>2600</v>
      </c>
      <c r="Z1404" t="s">
        <v>5803</v>
      </c>
      <c r="AA1404" t="s">
        <v>5804</v>
      </c>
      <c r="AC1404" t="s">
        <v>7107</v>
      </c>
      <c r="AE1404" t="s">
        <v>9088</v>
      </c>
      <c r="AF1404">
        <v>3</v>
      </c>
      <c r="AG1404" t="s">
        <v>9269</v>
      </c>
      <c r="AH1404" t="s">
        <v>4280</v>
      </c>
      <c r="AI1404">
        <v>1</v>
      </c>
      <c r="AJ1404">
        <v>2</v>
      </c>
      <c r="AK1404">
        <v>0</v>
      </c>
      <c r="AL1404">
        <v>196.92</v>
      </c>
      <c r="AO1404" t="s">
        <v>9298</v>
      </c>
      <c r="AP1404">
        <v>33300</v>
      </c>
      <c r="AV1404">
        <v>0.8</v>
      </c>
      <c r="AW1404" t="s">
        <v>78</v>
      </c>
    </row>
    <row r="1405" spans="1:49">
      <c r="A1405" s="1">
        <f>HYPERLINK("https://cms.ls-nyc.org/matter/dynamic-profile/view/1876741","18-1876741")</f>
        <v>0</v>
      </c>
      <c r="B1405" t="s">
        <v>78</v>
      </c>
      <c r="C1405" t="s">
        <v>82</v>
      </c>
      <c r="D1405" t="s">
        <v>120</v>
      </c>
      <c r="E1405" t="s">
        <v>282</v>
      </c>
      <c r="F1405" t="s">
        <v>1268</v>
      </c>
      <c r="G1405" t="s">
        <v>1641</v>
      </c>
      <c r="H1405" t="s">
        <v>3684</v>
      </c>
      <c r="I1405" t="s">
        <v>4188</v>
      </c>
      <c r="J1405" t="s">
        <v>4267</v>
      </c>
      <c r="K1405">
        <v>11372</v>
      </c>
      <c r="L1405" t="s">
        <v>4275</v>
      </c>
      <c r="M1405" t="s">
        <v>4275</v>
      </c>
      <c r="O1405" t="s">
        <v>4282</v>
      </c>
      <c r="P1405" t="s">
        <v>5551</v>
      </c>
      <c r="Q1405" t="s">
        <v>5731</v>
      </c>
      <c r="R1405" t="s">
        <v>5753</v>
      </c>
      <c r="S1405" t="s">
        <v>5759</v>
      </c>
      <c r="T1405" t="s">
        <v>4276</v>
      </c>
      <c r="V1405" t="s">
        <v>5767</v>
      </c>
      <c r="W1405" t="s">
        <v>5773</v>
      </c>
      <c r="X1405" t="s">
        <v>207</v>
      </c>
      <c r="Y1405">
        <v>1632</v>
      </c>
      <c r="Z1405" t="s">
        <v>5803</v>
      </c>
      <c r="AA1405" t="s">
        <v>5804</v>
      </c>
      <c r="AB1405" t="s">
        <v>5821</v>
      </c>
      <c r="AC1405" t="s">
        <v>7108</v>
      </c>
      <c r="AD1405" t="s">
        <v>7785</v>
      </c>
      <c r="AE1405" t="s">
        <v>9089</v>
      </c>
      <c r="AF1405">
        <v>6</v>
      </c>
      <c r="AG1405" t="s">
        <v>9272</v>
      </c>
      <c r="AH1405" t="s">
        <v>4280</v>
      </c>
      <c r="AI1405">
        <v>4</v>
      </c>
      <c r="AJ1405">
        <v>2</v>
      </c>
      <c r="AK1405">
        <v>1</v>
      </c>
      <c r="AL1405">
        <v>197.31</v>
      </c>
      <c r="AO1405" t="s">
        <v>9298</v>
      </c>
      <c r="AP1405">
        <v>41000</v>
      </c>
      <c r="AV1405">
        <v>1</v>
      </c>
      <c r="AW1405" t="s">
        <v>54</v>
      </c>
    </row>
    <row r="1406" spans="1:49">
      <c r="A1406" s="1">
        <f>HYPERLINK("https://cms.ls-nyc.org/matter/dynamic-profile/view/1872475","18-1872475")</f>
        <v>0</v>
      </c>
      <c r="B1406" t="s">
        <v>78</v>
      </c>
      <c r="C1406" t="s">
        <v>82</v>
      </c>
      <c r="D1406" t="s">
        <v>195</v>
      </c>
      <c r="E1406" t="s">
        <v>282</v>
      </c>
      <c r="F1406" t="s">
        <v>518</v>
      </c>
      <c r="G1406" t="s">
        <v>2365</v>
      </c>
      <c r="H1406" t="s">
        <v>3685</v>
      </c>
      <c r="I1406" t="s">
        <v>3870</v>
      </c>
      <c r="J1406" t="s">
        <v>4263</v>
      </c>
      <c r="K1406">
        <v>11426</v>
      </c>
      <c r="L1406" t="s">
        <v>4275</v>
      </c>
      <c r="M1406" t="s">
        <v>4275</v>
      </c>
      <c r="O1406" t="s">
        <v>4282</v>
      </c>
      <c r="P1406" t="s">
        <v>5552</v>
      </c>
      <c r="Q1406" t="s">
        <v>5732</v>
      </c>
      <c r="R1406" t="s">
        <v>5753</v>
      </c>
      <c r="S1406" t="s">
        <v>5759</v>
      </c>
      <c r="T1406" t="s">
        <v>4276</v>
      </c>
      <c r="V1406" t="s">
        <v>5767</v>
      </c>
      <c r="W1406" t="s">
        <v>5772</v>
      </c>
      <c r="X1406" t="s">
        <v>195</v>
      </c>
      <c r="Y1406">
        <v>1200</v>
      </c>
      <c r="Z1406" t="s">
        <v>5803</v>
      </c>
      <c r="AA1406" t="s">
        <v>5804</v>
      </c>
      <c r="AB1406" t="s">
        <v>5821</v>
      </c>
      <c r="AC1406" t="s">
        <v>7109</v>
      </c>
      <c r="AE1406" t="s">
        <v>9090</v>
      </c>
      <c r="AF1406">
        <v>4</v>
      </c>
      <c r="AG1406" t="s">
        <v>9269</v>
      </c>
      <c r="AH1406" t="s">
        <v>4280</v>
      </c>
      <c r="AI1406">
        <v>6</v>
      </c>
      <c r="AJ1406">
        <v>1</v>
      </c>
      <c r="AK1406">
        <v>0</v>
      </c>
      <c r="AL1406">
        <v>197.69</v>
      </c>
      <c r="AO1406" t="s">
        <v>1425</v>
      </c>
      <c r="AP1406">
        <v>24000</v>
      </c>
      <c r="AV1406">
        <v>0.9</v>
      </c>
      <c r="AW1406" t="s">
        <v>54</v>
      </c>
    </row>
    <row r="1407" spans="1:49">
      <c r="A1407" s="1">
        <f>HYPERLINK("https://cms.ls-nyc.org/matter/dynamic-profile/view/1875663","18-1875663")</f>
        <v>0</v>
      </c>
      <c r="B1407" t="s">
        <v>78</v>
      </c>
      <c r="C1407" t="s">
        <v>82</v>
      </c>
      <c r="D1407" t="s">
        <v>122</v>
      </c>
      <c r="E1407" t="s">
        <v>282</v>
      </c>
      <c r="F1407" t="s">
        <v>1269</v>
      </c>
      <c r="G1407" t="s">
        <v>1450</v>
      </c>
      <c r="H1407" t="s">
        <v>3686</v>
      </c>
      <c r="J1407" t="s">
        <v>4222</v>
      </c>
      <c r="K1407">
        <v>11434</v>
      </c>
      <c r="L1407" t="s">
        <v>4275</v>
      </c>
      <c r="M1407" t="s">
        <v>4275</v>
      </c>
      <c r="O1407" t="s">
        <v>4281</v>
      </c>
      <c r="P1407" t="s">
        <v>5553</v>
      </c>
      <c r="Q1407" t="s">
        <v>5732</v>
      </c>
      <c r="R1407" t="s">
        <v>5751</v>
      </c>
      <c r="S1407" t="s">
        <v>5758</v>
      </c>
      <c r="T1407" t="s">
        <v>4276</v>
      </c>
      <c r="V1407" t="s">
        <v>5767</v>
      </c>
      <c r="W1407" t="s">
        <v>5772</v>
      </c>
      <c r="X1407" t="s">
        <v>122</v>
      </c>
      <c r="Y1407">
        <v>1400</v>
      </c>
      <c r="Z1407" t="s">
        <v>5803</v>
      </c>
      <c r="AA1407" t="s">
        <v>5804</v>
      </c>
      <c r="AB1407" t="s">
        <v>5822</v>
      </c>
      <c r="AC1407" t="s">
        <v>7110</v>
      </c>
      <c r="AD1407" t="s">
        <v>4280</v>
      </c>
      <c r="AE1407" t="s">
        <v>9091</v>
      </c>
      <c r="AF1407">
        <v>2</v>
      </c>
      <c r="AG1407" t="s">
        <v>9269</v>
      </c>
      <c r="AH1407" t="s">
        <v>4280</v>
      </c>
      <c r="AI1407">
        <v>5</v>
      </c>
      <c r="AJ1407">
        <v>3</v>
      </c>
      <c r="AK1407">
        <v>1</v>
      </c>
      <c r="AL1407">
        <v>198.88</v>
      </c>
      <c r="AO1407" t="s">
        <v>1425</v>
      </c>
      <c r="AP1407">
        <v>49920</v>
      </c>
      <c r="AS1407" t="s">
        <v>5806</v>
      </c>
      <c r="AT1407" t="s">
        <v>9370</v>
      </c>
      <c r="AU1407" t="s">
        <v>9536</v>
      </c>
      <c r="AV1407">
        <v>8.699999999999999</v>
      </c>
      <c r="AW1407" t="s">
        <v>54</v>
      </c>
    </row>
    <row r="1408" spans="1:49">
      <c r="A1408" s="1">
        <f>HYPERLINK("https://cms.ls-nyc.org/matter/dynamic-profile/view/1883096","18-1883096")</f>
        <v>0</v>
      </c>
      <c r="B1408" t="s">
        <v>78</v>
      </c>
      <c r="C1408" t="s">
        <v>83</v>
      </c>
      <c r="D1408" t="s">
        <v>139</v>
      </c>
      <c r="F1408" t="s">
        <v>327</v>
      </c>
      <c r="G1408" t="s">
        <v>2366</v>
      </c>
      <c r="H1408" t="s">
        <v>3687</v>
      </c>
      <c r="I1408" t="s">
        <v>4189</v>
      </c>
      <c r="J1408" t="s">
        <v>4222</v>
      </c>
      <c r="K1408">
        <v>11434</v>
      </c>
      <c r="L1408" t="s">
        <v>4275</v>
      </c>
      <c r="M1408" t="s">
        <v>4275</v>
      </c>
      <c r="O1408" t="s">
        <v>4281</v>
      </c>
      <c r="P1408" t="s">
        <v>5554</v>
      </c>
      <c r="Q1408" t="s">
        <v>5731</v>
      </c>
      <c r="R1408" t="s">
        <v>5751</v>
      </c>
      <c r="T1408" t="s">
        <v>4276</v>
      </c>
      <c r="V1408" t="s">
        <v>5767</v>
      </c>
      <c r="W1408" t="s">
        <v>5772</v>
      </c>
      <c r="X1408" t="s">
        <v>139</v>
      </c>
      <c r="Y1408">
        <v>757</v>
      </c>
      <c r="Z1408" t="s">
        <v>5803</v>
      </c>
      <c r="AA1408" t="s">
        <v>5805</v>
      </c>
      <c r="AC1408" t="s">
        <v>7111</v>
      </c>
      <c r="AE1408" t="s">
        <v>9092</v>
      </c>
      <c r="AF1408">
        <v>148</v>
      </c>
      <c r="AG1408" t="s">
        <v>9270</v>
      </c>
      <c r="AH1408" t="s">
        <v>4280</v>
      </c>
      <c r="AI1408">
        <v>2</v>
      </c>
      <c r="AJ1408">
        <v>1</v>
      </c>
      <c r="AK1408">
        <v>1</v>
      </c>
      <c r="AL1408">
        <v>208.02</v>
      </c>
      <c r="AM1408" t="s">
        <v>138</v>
      </c>
      <c r="AN1408" t="s">
        <v>9293</v>
      </c>
      <c r="AO1408" t="s">
        <v>1425</v>
      </c>
      <c r="AP1408">
        <v>34240</v>
      </c>
      <c r="AV1408">
        <v>7.5</v>
      </c>
      <c r="AW1408" t="s">
        <v>54</v>
      </c>
    </row>
    <row r="1409" spans="1:49">
      <c r="A1409" s="1">
        <f>HYPERLINK("https://cms.ls-nyc.org/matter/dynamic-profile/view/1894318","19-1894318")</f>
        <v>0</v>
      </c>
      <c r="B1409" t="s">
        <v>78</v>
      </c>
      <c r="C1409" t="s">
        <v>83</v>
      </c>
      <c r="D1409" t="s">
        <v>211</v>
      </c>
      <c r="F1409" t="s">
        <v>590</v>
      </c>
      <c r="G1409" t="s">
        <v>1385</v>
      </c>
      <c r="H1409" t="s">
        <v>3688</v>
      </c>
      <c r="I1409" t="s">
        <v>3856</v>
      </c>
      <c r="J1409" t="s">
        <v>4249</v>
      </c>
      <c r="K1409">
        <v>11428</v>
      </c>
      <c r="L1409" t="s">
        <v>4275</v>
      </c>
      <c r="M1409" t="s">
        <v>4275</v>
      </c>
      <c r="O1409" t="s">
        <v>4282</v>
      </c>
      <c r="P1409" t="s">
        <v>5555</v>
      </c>
      <c r="R1409" t="s">
        <v>5753</v>
      </c>
      <c r="V1409" t="s">
        <v>5767</v>
      </c>
      <c r="X1409" t="s">
        <v>211</v>
      </c>
      <c r="Y1409">
        <v>1200</v>
      </c>
      <c r="Z1409" t="s">
        <v>5803</v>
      </c>
      <c r="AA1409" t="s">
        <v>5804</v>
      </c>
      <c r="AC1409" t="s">
        <v>7112</v>
      </c>
      <c r="AE1409" t="s">
        <v>9093</v>
      </c>
      <c r="AF1409">
        <v>2</v>
      </c>
      <c r="AG1409" t="s">
        <v>9278</v>
      </c>
      <c r="AH1409" t="s">
        <v>9282</v>
      </c>
      <c r="AI1409">
        <v>2</v>
      </c>
      <c r="AJ1409">
        <v>1</v>
      </c>
      <c r="AK1409">
        <v>0</v>
      </c>
      <c r="AL1409">
        <v>247.08</v>
      </c>
      <c r="AP1409">
        <v>30859.92</v>
      </c>
      <c r="AV1409">
        <v>1.3</v>
      </c>
      <c r="AW1409" t="s">
        <v>74</v>
      </c>
    </row>
    <row r="1410" spans="1:49">
      <c r="A1410" s="1">
        <f>HYPERLINK("https://cms.ls-nyc.org/matter/dynamic-profile/view/1897595","19-1897595")</f>
        <v>0</v>
      </c>
      <c r="B1410" t="s">
        <v>78</v>
      </c>
      <c r="C1410" t="s">
        <v>83</v>
      </c>
      <c r="D1410" t="s">
        <v>107</v>
      </c>
      <c r="F1410" t="s">
        <v>1270</v>
      </c>
      <c r="G1410" t="s">
        <v>2128</v>
      </c>
      <c r="H1410" t="s">
        <v>2587</v>
      </c>
      <c r="I1410" t="s">
        <v>4190</v>
      </c>
      <c r="J1410" t="s">
        <v>4241</v>
      </c>
      <c r="K1410">
        <v>11368</v>
      </c>
      <c r="L1410" t="s">
        <v>4275</v>
      </c>
      <c r="M1410" t="s">
        <v>4275</v>
      </c>
      <c r="O1410" t="s">
        <v>4283</v>
      </c>
      <c r="Q1410" t="s">
        <v>5738</v>
      </c>
      <c r="R1410" t="s">
        <v>5755</v>
      </c>
      <c r="T1410" t="s">
        <v>4275</v>
      </c>
      <c r="V1410" t="s">
        <v>5767</v>
      </c>
      <c r="Y1410">
        <v>1293</v>
      </c>
      <c r="Z1410" t="s">
        <v>5803</v>
      </c>
      <c r="AA1410" t="s">
        <v>5806</v>
      </c>
      <c r="AC1410" t="s">
        <v>7113</v>
      </c>
      <c r="AE1410" t="s">
        <v>9094</v>
      </c>
      <c r="AF1410">
        <v>70</v>
      </c>
      <c r="AG1410" t="s">
        <v>9272</v>
      </c>
      <c r="AH1410" t="s">
        <v>4280</v>
      </c>
      <c r="AI1410">
        <v>30</v>
      </c>
      <c r="AJ1410">
        <v>2</v>
      </c>
      <c r="AK1410">
        <v>0</v>
      </c>
      <c r="AL1410">
        <v>276.76</v>
      </c>
      <c r="AO1410" t="s">
        <v>1425</v>
      </c>
      <c r="AP1410">
        <v>46800</v>
      </c>
      <c r="AV1410">
        <v>0</v>
      </c>
      <c r="AW1410" t="s">
        <v>78</v>
      </c>
    </row>
    <row r="1411" spans="1:49">
      <c r="A1411" s="1">
        <f>HYPERLINK("https://cms.ls-nyc.org/matter/dynamic-profile/view/1897572","19-1897572")</f>
        <v>0</v>
      </c>
      <c r="B1411" t="s">
        <v>78</v>
      </c>
      <c r="C1411" t="s">
        <v>83</v>
      </c>
      <c r="D1411" t="s">
        <v>107</v>
      </c>
      <c r="F1411" t="s">
        <v>1271</v>
      </c>
      <c r="G1411" t="s">
        <v>1767</v>
      </c>
      <c r="H1411" t="s">
        <v>3689</v>
      </c>
      <c r="I1411" t="s">
        <v>4191</v>
      </c>
      <c r="J1411" t="s">
        <v>4225</v>
      </c>
      <c r="K1411">
        <v>11386</v>
      </c>
      <c r="L1411" t="s">
        <v>4275</v>
      </c>
      <c r="M1411" t="s">
        <v>4275</v>
      </c>
      <c r="O1411" t="s">
        <v>4283</v>
      </c>
      <c r="P1411" t="s">
        <v>5556</v>
      </c>
      <c r="Q1411" t="s">
        <v>5738</v>
      </c>
      <c r="R1411" t="s">
        <v>5755</v>
      </c>
      <c r="T1411" t="s">
        <v>4275</v>
      </c>
      <c r="V1411" t="s">
        <v>5767</v>
      </c>
      <c r="Y1411">
        <v>1260</v>
      </c>
      <c r="Z1411" t="s">
        <v>5803</v>
      </c>
      <c r="AC1411" t="s">
        <v>7114</v>
      </c>
      <c r="AE1411" t="s">
        <v>9095</v>
      </c>
      <c r="AF1411">
        <v>70</v>
      </c>
      <c r="AG1411" t="s">
        <v>9272</v>
      </c>
      <c r="AH1411" t="s">
        <v>4280</v>
      </c>
      <c r="AI1411">
        <v>19</v>
      </c>
      <c r="AJ1411">
        <v>1</v>
      </c>
      <c r="AK1411">
        <v>0</v>
      </c>
      <c r="AL1411">
        <v>376.3</v>
      </c>
      <c r="AO1411" t="s">
        <v>1425</v>
      </c>
      <c r="AP1411">
        <v>47000</v>
      </c>
      <c r="AV1411">
        <v>2.5</v>
      </c>
      <c r="AW1411" t="s">
        <v>78</v>
      </c>
    </row>
    <row r="1412" spans="1:49">
      <c r="A1412" s="1">
        <f>HYPERLINK("https://cms.ls-nyc.org/matter/dynamic-profile/view/1897589","19-1897589")</f>
        <v>0</v>
      </c>
      <c r="B1412" t="s">
        <v>78</v>
      </c>
      <c r="C1412" t="s">
        <v>83</v>
      </c>
      <c r="D1412" t="s">
        <v>107</v>
      </c>
      <c r="F1412" t="s">
        <v>1272</v>
      </c>
      <c r="G1412" t="s">
        <v>1583</v>
      </c>
      <c r="H1412" t="s">
        <v>2594</v>
      </c>
      <c r="I1412" t="s">
        <v>4192</v>
      </c>
      <c r="J1412" t="s">
        <v>4241</v>
      </c>
      <c r="K1412">
        <v>11368</v>
      </c>
      <c r="L1412" t="s">
        <v>4275</v>
      </c>
      <c r="M1412" t="s">
        <v>4275</v>
      </c>
      <c r="N1412" t="s">
        <v>4278</v>
      </c>
      <c r="O1412" t="s">
        <v>4283</v>
      </c>
      <c r="P1412" t="s">
        <v>5524</v>
      </c>
      <c r="Q1412" t="s">
        <v>5738</v>
      </c>
      <c r="R1412" t="s">
        <v>5755</v>
      </c>
      <c r="T1412" t="s">
        <v>4275</v>
      </c>
      <c r="V1412" t="s">
        <v>5767</v>
      </c>
      <c r="Y1412">
        <v>1252.55</v>
      </c>
      <c r="Z1412" t="s">
        <v>5803</v>
      </c>
      <c r="AA1412" t="s">
        <v>5806</v>
      </c>
      <c r="AC1412" t="s">
        <v>7115</v>
      </c>
      <c r="AE1412" t="s">
        <v>9096</v>
      </c>
      <c r="AF1412">
        <v>70</v>
      </c>
      <c r="AG1412" t="s">
        <v>9272</v>
      </c>
      <c r="AH1412" t="s">
        <v>4280</v>
      </c>
      <c r="AI1412">
        <v>43</v>
      </c>
      <c r="AJ1412">
        <v>1</v>
      </c>
      <c r="AK1412">
        <v>0</v>
      </c>
      <c r="AL1412">
        <v>400.32</v>
      </c>
      <c r="AP1412">
        <v>50000</v>
      </c>
      <c r="AV1412">
        <v>0</v>
      </c>
      <c r="AW1412" t="s">
        <v>78</v>
      </c>
    </row>
    <row r="1413" spans="1:49">
      <c r="A1413" s="1">
        <f>HYPERLINK("https://cms.ls-nyc.org/matter/dynamic-profile/view/1897510","19-1897510")</f>
        <v>0</v>
      </c>
      <c r="B1413" t="s">
        <v>78</v>
      </c>
      <c r="C1413" t="s">
        <v>83</v>
      </c>
      <c r="D1413" t="s">
        <v>237</v>
      </c>
      <c r="F1413" t="s">
        <v>585</v>
      </c>
      <c r="G1413" t="s">
        <v>1648</v>
      </c>
      <c r="H1413" t="s">
        <v>2813</v>
      </c>
      <c r="I1413" t="s">
        <v>3858</v>
      </c>
      <c r="J1413" t="s">
        <v>4241</v>
      </c>
      <c r="K1413">
        <v>11368</v>
      </c>
      <c r="L1413" t="s">
        <v>4275</v>
      </c>
      <c r="M1413" t="s">
        <v>4275</v>
      </c>
      <c r="N1413" t="s">
        <v>4278</v>
      </c>
      <c r="O1413" t="s">
        <v>4283</v>
      </c>
      <c r="P1413" t="s">
        <v>5556</v>
      </c>
      <c r="Q1413" t="s">
        <v>5738</v>
      </c>
      <c r="R1413" t="s">
        <v>5755</v>
      </c>
      <c r="T1413" t="s">
        <v>4275</v>
      </c>
      <c r="V1413" t="s">
        <v>5767</v>
      </c>
      <c r="W1413" t="s">
        <v>5772</v>
      </c>
      <c r="Y1413">
        <v>1586</v>
      </c>
      <c r="Z1413" t="s">
        <v>5803</v>
      </c>
      <c r="AA1413" t="s">
        <v>5806</v>
      </c>
      <c r="AC1413" t="s">
        <v>7116</v>
      </c>
      <c r="AE1413" t="s">
        <v>9097</v>
      </c>
      <c r="AF1413">
        <v>50</v>
      </c>
      <c r="AG1413" t="s">
        <v>9272</v>
      </c>
      <c r="AI1413">
        <v>19</v>
      </c>
      <c r="AJ1413">
        <v>1</v>
      </c>
      <c r="AK1413">
        <v>0</v>
      </c>
      <c r="AL1413">
        <v>520.42</v>
      </c>
      <c r="AO1413" t="s">
        <v>1425</v>
      </c>
      <c r="AP1413">
        <v>65000</v>
      </c>
      <c r="AV1413">
        <v>0</v>
      </c>
      <c r="AW1413" t="s">
        <v>78</v>
      </c>
    </row>
    <row r="1414" spans="1:49">
      <c r="A1414" s="1">
        <f>HYPERLINK("https://cms.ls-nyc.org/matter/dynamic-profile/view/1888186","19-1888186")</f>
        <v>0</v>
      </c>
      <c r="B1414" t="s">
        <v>78</v>
      </c>
      <c r="C1414" t="s">
        <v>83</v>
      </c>
      <c r="D1414" t="s">
        <v>144</v>
      </c>
      <c r="F1414" t="s">
        <v>452</v>
      </c>
      <c r="G1414" t="s">
        <v>2367</v>
      </c>
      <c r="H1414" t="s">
        <v>3690</v>
      </c>
      <c r="I1414" t="s">
        <v>3908</v>
      </c>
      <c r="J1414" t="s">
        <v>4240</v>
      </c>
      <c r="K1414">
        <v>11373</v>
      </c>
      <c r="L1414" t="s">
        <v>4275</v>
      </c>
      <c r="M1414" t="s">
        <v>4275</v>
      </c>
      <c r="O1414" t="s">
        <v>4281</v>
      </c>
      <c r="P1414" t="s">
        <v>5557</v>
      </c>
      <c r="Q1414" t="s">
        <v>5731</v>
      </c>
      <c r="R1414" t="s">
        <v>5751</v>
      </c>
      <c r="T1414" t="s">
        <v>4275</v>
      </c>
      <c r="V1414" t="s">
        <v>5767</v>
      </c>
      <c r="W1414" t="s">
        <v>5772</v>
      </c>
      <c r="Y1414">
        <v>1523</v>
      </c>
      <c r="Z1414" t="s">
        <v>5803</v>
      </c>
      <c r="AA1414" t="s">
        <v>5805</v>
      </c>
      <c r="AC1414" t="s">
        <v>7117</v>
      </c>
      <c r="AE1414" t="s">
        <v>9098</v>
      </c>
      <c r="AF1414">
        <v>30</v>
      </c>
      <c r="AG1414" t="s">
        <v>9272</v>
      </c>
      <c r="AH1414" t="s">
        <v>4280</v>
      </c>
      <c r="AI1414">
        <v>17</v>
      </c>
      <c r="AJ1414">
        <v>2</v>
      </c>
      <c r="AK1414">
        <v>0</v>
      </c>
      <c r="AL1414">
        <v>1822.6</v>
      </c>
      <c r="AO1414" t="s">
        <v>1425</v>
      </c>
      <c r="AP1414">
        <v>300000</v>
      </c>
      <c r="AV1414">
        <v>4.7</v>
      </c>
      <c r="AW1414" t="s">
        <v>60</v>
      </c>
    </row>
    <row r="1415" spans="1:49">
      <c r="A1415" s="1">
        <f>HYPERLINK("https://cms.ls-nyc.org/matter/dynamic-profile/view/1886283","18-1886283")</f>
        <v>0</v>
      </c>
      <c r="B1415" t="s">
        <v>79</v>
      </c>
      <c r="C1415" t="s">
        <v>83</v>
      </c>
      <c r="D1415" t="s">
        <v>182</v>
      </c>
      <c r="F1415" t="s">
        <v>329</v>
      </c>
      <c r="G1415" t="s">
        <v>2368</v>
      </c>
      <c r="H1415" t="s">
        <v>3691</v>
      </c>
      <c r="J1415" t="s">
        <v>4274</v>
      </c>
      <c r="K1415">
        <v>11693</v>
      </c>
      <c r="L1415" t="s">
        <v>4277</v>
      </c>
      <c r="M1415" t="s">
        <v>4277</v>
      </c>
      <c r="O1415" t="s">
        <v>4282</v>
      </c>
      <c r="P1415" t="s">
        <v>5558</v>
      </c>
      <c r="Q1415" t="s">
        <v>5732</v>
      </c>
      <c r="R1415" t="s">
        <v>5752</v>
      </c>
      <c r="T1415" t="s">
        <v>4276</v>
      </c>
      <c r="V1415" t="s">
        <v>5767</v>
      </c>
      <c r="W1415" t="s">
        <v>5772</v>
      </c>
      <c r="Y1415">
        <v>1200</v>
      </c>
      <c r="Z1415" t="s">
        <v>5803</v>
      </c>
      <c r="AA1415" t="s">
        <v>5804</v>
      </c>
      <c r="AC1415" t="s">
        <v>7118</v>
      </c>
      <c r="AE1415" t="s">
        <v>9099</v>
      </c>
      <c r="AF1415">
        <v>1</v>
      </c>
      <c r="AI1415">
        <v>7</v>
      </c>
      <c r="AJ1415">
        <v>1</v>
      </c>
      <c r="AK1415">
        <v>0</v>
      </c>
      <c r="AL1415">
        <v>0</v>
      </c>
      <c r="AO1415" t="s">
        <v>1425</v>
      </c>
      <c r="AP1415">
        <v>0</v>
      </c>
      <c r="AV1415">
        <v>0</v>
      </c>
      <c r="AW1415" t="s">
        <v>71</v>
      </c>
    </row>
    <row r="1416" spans="1:49">
      <c r="A1416" s="1">
        <f>HYPERLINK("https://cms.ls-nyc.org/matter/dynamic-profile/view/1878143","18-1878143")</f>
        <v>0</v>
      </c>
      <c r="B1416" t="s">
        <v>79</v>
      </c>
      <c r="C1416" t="s">
        <v>83</v>
      </c>
      <c r="D1416" t="s">
        <v>188</v>
      </c>
      <c r="F1416" t="s">
        <v>1273</v>
      </c>
      <c r="G1416" t="s">
        <v>1589</v>
      </c>
      <c r="H1416" t="s">
        <v>2725</v>
      </c>
      <c r="I1416" t="s">
        <v>3900</v>
      </c>
      <c r="J1416" t="s">
        <v>4243</v>
      </c>
      <c r="K1416">
        <v>11691</v>
      </c>
      <c r="L1416" t="s">
        <v>4275</v>
      </c>
      <c r="M1416" t="s">
        <v>4277</v>
      </c>
      <c r="O1416" t="s">
        <v>4282</v>
      </c>
      <c r="P1416" t="s">
        <v>5559</v>
      </c>
      <c r="Q1416" t="s">
        <v>5731</v>
      </c>
      <c r="R1416" t="s">
        <v>5751</v>
      </c>
      <c r="T1416" t="s">
        <v>4276</v>
      </c>
      <c r="V1416" t="s">
        <v>5767</v>
      </c>
      <c r="X1416" t="s">
        <v>188</v>
      </c>
      <c r="Y1416">
        <v>1213</v>
      </c>
      <c r="Z1416" t="s">
        <v>5803</v>
      </c>
      <c r="AA1416" t="s">
        <v>5804</v>
      </c>
      <c r="AC1416" t="s">
        <v>7119</v>
      </c>
      <c r="AE1416" t="s">
        <v>9100</v>
      </c>
      <c r="AF1416">
        <v>27</v>
      </c>
      <c r="AG1416" t="s">
        <v>9270</v>
      </c>
      <c r="AH1416" t="s">
        <v>9284</v>
      </c>
      <c r="AI1416">
        <v>2</v>
      </c>
      <c r="AJ1416">
        <v>1</v>
      </c>
      <c r="AK1416">
        <v>0</v>
      </c>
      <c r="AL1416">
        <v>0</v>
      </c>
      <c r="AO1416" t="s">
        <v>1425</v>
      </c>
      <c r="AP1416">
        <v>0</v>
      </c>
      <c r="AV1416">
        <v>18.25</v>
      </c>
      <c r="AW1416" t="s">
        <v>74</v>
      </c>
    </row>
    <row r="1417" spans="1:49">
      <c r="A1417" s="1">
        <f>HYPERLINK("https://cms.ls-nyc.org/matter/dynamic-profile/view/1872439","18-1872439")</f>
        <v>0</v>
      </c>
      <c r="B1417" t="s">
        <v>79</v>
      </c>
      <c r="C1417" t="s">
        <v>83</v>
      </c>
      <c r="D1417" t="s">
        <v>195</v>
      </c>
      <c r="F1417" t="s">
        <v>1274</v>
      </c>
      <c r="G1417" t="s">
        <v>2369</v>
      </c>
      <c r="H1417" t="s">
        <v>3692</v>
      </c>
      <c r="I1417" t="s">
        <v>3880</v>
      </c>
      <c r="J1417" t="s">
        <v>4247</v>
      </c>
      <c r="K1417">
        <v>11415</v>
      </c>
      <c r="L1417" t="s">
        <v>4275</v>
      </c>
      <c r="M1417" t="s">
        <v>4275</v>
      </c>
      <c r="O1417" t="s">
        <v>4282</v>
      </c>
      <c r="P1417" t="s">
        <v>5560</v>
      </c>
      <c r="Q1417" t="s">
        <v>5731</v>
      </c>
      <c r="R1417" t="s">
        <v>5753</v>
      </c>
      <c r="T1417" t="s">
        <v>4276</v>
      </c>
      <c r="V1417" t="s">
        <v>5767</v>
      </c>
      <c r="W1417" t="s">
        <v>5771</v>
      </c>
      <c r="X1417" t="s">
        <v>5794</v>
      </c>
      <c r="Y1417">
        <v>1075</v>
      </c>
      <c r="Z1417" t="s">
        <v>5803</v>
      </c>
      <c r="AA1417" t="s">
        <v>5804</v>
      </c>
      <c r="AC1417" t="s">
        <v>7120</v>
      </c>
      <c r="AD1417" t="s">
        <v>4280</v>
      </c>
      <c r="AE1417" t="s">
        <v>9101</v>
      </c>
      <c r="AF1417">
        <v>108</v>
      </c>
      <c r="AG1417" t="s">
        <v>9275</v>
      </c>
      <c r="AH1417" t="s">
        <v>4280</v>
      </c>
      <c r="AI1417">
        <v>19</v>
      </c>
      <c r="AJ1417">
        <v>1</v>
      </c>
      <c r="AK1417">
        <v>0</v>
      </c>
      <c r="AL1417">
        <v>0</v>
      </c>
      <c r="AO1417" t="s">
        <v>9298</v>
      </c>
      <c r="AP1417">
        <v>0</v>
      </c>
      <c r="AV1417">
        <v>1.1</v>
      </c>
      <c r="AW1417" t="s">
        <v>73</v>
      </c>
    </row>
    <row r="1418" spans="1:49">
      <c r="A1418" s="1">
        <f>HYPERLINK("https://cms.ls-nyc.org/matter/dynamic-profile/view/1872649","18-1872649")</f>
        <v>0</v>
      </c>
      <c r="B1418" t="s">
        <v>79</v>
      </c>
      <c r="C1418" t="s">
        <v>82</v>
      </c>
      <c r="D1418" t="s">
        <v>143</v>
      </c>
      <c r="E1418" t="s">
        <v>282</v>
      </c>
      <c r="F1418" t="s">
        <v>1275</v>
      </c>
      <c r="G1418" t="s">
        <v>2370</v>
      </c>
      <c r="H1418" t="s">
        <v>3693</v>
      </c>
      <c r="I1418" t="s">
        <v>3985</v>
      </c>
      <c r="J1418" t="s">
        <v>4233</v>
      </c>
      <c r="K1418">
        <v>11375</v>
      </c>
      <c r="L1418" t="s">
        <v>4275</v>
      </c>
      <c r="M1418" t="s">
        <v>4275</v>
      </c>
      <c r="O1418" t="s">
        <v>4282</v>
      </c>
      <c r="P1418" t="s">
        <v>5561</v>
      </c>
      <c r="Q1418" t="s">
        <v>5732</v>
      </c>
      <c r="R1418" t="s">
        <v>5753</v>
      </c>
      <c r="S1418" t="s">
        <v>5759</v>
      </c>
      <c r="T1418" t="s">
        <v>4276</v>
      </c>
      <c r="V1418" t="s">
        <v>5767</v>
      </c>
      <c r="W1418" t="s">
        <v>5772</v>
      </c>
      <c r="X1418" t="s">
        <v>143</v>
      </c>
      <c r="Y1418">
        <v>1500</v>
      </c>
      <c r="Z1418" t="s">
        <v>5803</v>
      </c>
      <c r="AA1418" t="s">
        <v>5804</v>
      </c>
      <c r="AB1418" t="s">
        <v>5821</v>
      </c>
      <c r="AC1418" t="s">
        <v>7121</v>
      </c>
      <c r="AD1418" t="s">
        <v>4700</v>
      </c>
      <c r="AF1418">
        <v>2</v>
      </c>
      <c r="AG1418" t="s">
        <v>9269</v>
      </c>
      <c r="AH1418" t="s">
        <v>4280</v>
      </c>
      <c r="AI1418">
        <v>2</v>
      </c>
      <c r="AJ1418">
        <v>1</v>
      </c>
      <c r="AK1418">
        <v>0</v>
      </c>
      <c r="AL1418">
        <v>0</v>
      </c>
      <c r="AO1418" t="s">
        <v>1425</v>
      </c>
      <c r="AP1418">
        <v>0</v>
      </c>
      <c r="AV1418">
        <v>0.85</v>
      </c>
      <c r="AW1418" t="s">
        <v>73</v>
      </c>
    </row>
    <row r="1419" spans="1:49">
      <c r="A1419" s="1">
        <f>HYPERLINK("https://cms.ls-nyc.org/matter/dynamic-profile/view/1896003","19-1896003")</f>
        <v>0</v>
      </c>
      <c r="B1419" t="s">
        <v>79</v>
      </c>
      <c r="C1419" t="s">
        <v>83</v>
      </c>
      <c r="D1419" t="s">
        <v>105</v>
      </c>
      <c r="F1419" t="s">
        <v>1276</v>
      </c>
      <c r="G1419" t="s">
        <v>1888</v>
      </c>
      <c r="H1419" t="s">
        <v>3694</v>
      </c>
      <c r="I1419" t="s">
        <v>4193</v>
      </c>
      <c r="J1419" t="s">
        <v>4234</v>
      </c>
      <c r="K1419">
        <v>11106</v>
      </c>
      <c r="L1419" t="s">
        <v>4275</v>
      </c>
      <c r="M1419" t="s">
        <v>4275</v>
      </c>
      <c r="O1419" t="s">
        <v>4283</v>
      </c>
      <c r="P1419" t="s">
        <v>5562</v>
      </c>
      <c r="Q1419" t="s">
        <v>5731</v>
      </c>
      <c r="R1419" t="s">
        <v>5754</v>
      </c>
      <c r="T1419" t="s">
        <v>4275</v>
      </c>
      <c r="V1419" t="s">
        <v>5767</v>
      </c>
      <c r="X1419" t="s">
        <v>105</v>
      </c>
      <c r="Y1419">
        <v>871</v>
      </c>
      <c r="Z1419" t="s">
        <v>5803</v>
      </c>
      <c r="AC1419" t="s">
        <v>7122</v>
      </c>
      <c r="AD1419" t="s">
        <v>7786</v>
      </c>
      <c r="AF1419">
        <v>19</v>
      </c>
      <c r="AI1419">
        <v>5</v>
      </c>
      <c r="AJ1419">
        <v>1</v>
      </c>
      <c r="AK1419">
        <v>3</v>
      </c>
      <c r="AL1419">
        <v>0</v>
      </c>
      <c r="AO1419" t="s">
        <v>1425</v>
      </c>
      <c r="AP1419">
        <v>0</v>
      </c>
      <c r="AV1419">
        <v>0.95</v>
      </c>
      <c r="AW1419" t="s">
        <v>9547</v>
      </c>
    </row>
    <row r="1420" spans="1:49">
      <c r="A1420" s="1">
        <f>HYPERLINK("https://cms.ls-nyc.org/matter/dynamic-profile/view/1886906","19-1886906")</f>
        <v>0</v>
      </c>
      <c r="B1420" t="s">
        <v>79</v>
      </c>
      <c r="C1420" t="s">
        <v>83</v>
      </c>
      <c r="D1420" t="s">
        <v>193</v>
      </c>
      <c r="F1420" t="s">
        <v>491</v>
      </c>
      <c r="G1420" t="s">
        <v>1545</v>
      </c>
      <c r="H1420" t="s">
        <v>2677</v>
      </c>
      <c r="J1420" t="s">
        <v>4222</v>
      </c>
      <c r="K1420">
        <v>11434</v>
      </c>
      <c r="L1420" t="s">
        <v>4275</v>
      </c>
      <c r="M1420" t="s">
        <v>4275</v>
      </c>
      <c r="O1420" t="s">
        <v>4281</v>
      </c>
      <c r="P1420" t="s">
        <v>5563</v>
      </c>
      <c r="Q1420" t="s">
        <v>5732</v>
      </c>
      <c r="R1420" t="s">
        <v>5751</v>
      </c>
      <c r="T1420" t="s">
        <v>4276</v>
      </c>
      <c r="V1420" t="s">
        <v>5767</v>
      </c>
      <c r="W1420" t="s">
        <v>5772</v>
      </c>
      <c r="X1420" t="s">
        <v>193</v>
      </c>
      <c r="Y1420">
        <v>0</v>
      </c>
      <c r="Z1420" t="s">
        <v>5803</v>
      </c>
      <c r="AA1420" t="s">
        <v>5804</v>
      </c>
      <c r="AC1420" t="s">
        <v>6020</v>
      </c>
      <c r="AD1420" t="s">
        <v>7369</v>
      </c>
      <c r="AE1420" t="s">
        <v>8028</v>
      </c>
      <c r="AF1420">
        <v>0</v>
      </c>
      <c r="AG1420" t="s">
        <v>9270</v>
      </c>
      <c r="AI1420">
        <v>35</v>
      </c>
      <c r="AJ1420">
        <v>1</v>
      </c>
      <c r="AK1420">
        <v>1</v>
      </c>
      <c r="AL1420">
        <v>8.460000000000001</v>
      </c>
      <c r="AO1420" t="s">
        <v>1425</v>
      </c>
      <c r="AP1420">
        <v>1392</v>
      </c>
      <c r="AV1420">
        <v>48.34</v>
      </c>
      <c r="AW1420" t="s">
        <v>55</v>
      </c>
    </row>
    <row r="1421" spans="1:49">
      <c r="A1421" s="1">
        <f>HYPERLINK("https://cms.ls-nyc.org/matter/dynamic-profile/view/1890262","19-1890262")</f>
        <v>0</v>
      </c>
      <c r="B1421" t="s">
        <v>79</v>
      </c>
      <c r="C1421" t="s">
        <v>83</v>
      </c>
      <c r="D1421" t="s">
        <v>127</v>
      </c>
      <c r="F1421" t="s">
        <v>862</v>
      </c>
      <c r="G1421" t="s">
        <v>2371</v>
      </c>
      <c r="H1421" t="s">
        <v>3695</v>
      </c>
      <c r="I1421" t="s">
        <v>3887</v>
      </c>
      <c r="J1421" t="s">
        <v>4222</v>
      </c>
      <c r="K1421">
        <v>11434</v>
      </c>
      <c r="L1421" t="s">
        <v>4275</v>
      </c>
      <c r="M1421" t="s">
        <v>4275</v>
      </c>
      <c r="O1421" t="s">
        <v>4281</v>
      </c>
      <c r="P1421" t="s">
        <v>5564</v>
      </c>
      <c r="Q1421" t="s">
        <v>5732</v>
      </c>
      <c r="R1421" t="s">
        <v>5751</v>
      </c>
      <c r="T1421" t="s">
        <v>4276</v>
      </c>
      <c r="V1421" t="s">
        <v>5767</v>
      </c>
      <c r="X1421" t="s">
        <v>127</v>
      </c>
      <c r="Y1421">
        <v>1240.32</v>
      </c>
      <c r="Z1421" t="s">
        <v>5803</v>
      </c>
      <c r="AA1421" t="s">
        <v>5805</v>
      </c>
      <c r="AC1421" t="s">
        <v>7123</v>
      </c>
      <c r="AE1421" t="s">
        <v>9102</v>
      </c>
      <c r="AF1421">
        <v>0</v>
      </c>
      <c r="AG1421" t="s">
        <v>9270</v>
      </c>
      <c r="AH1421" t="s">
        <v>4280</v>
      </c>
      <c r="AI1421">
        <v>2</v>
      </c>
      <c r="AJ1421">
        <v>1</v>
      </c>
      <c r="AK1421">
        <v>1</v>
      </c>
      <c r="AL1421">
        <v>13.99</v>
      </c>
      <c r="AO1421" t="s">
        <v>9298</v>
      </c>
      <c r="AP1421">
        <v>2366</v>
      </c>
      <c r="AV1421">
        <v>11.4</v>
      </c>
      <c r="AW1421" t="s">
        <v>54</v>
      </c>
    </row>
    <row r="1422" spans="1:49">
      <c r="A1422" s="1">
        <f>HYPERLINK("https://cms.ls-nyc.org/matter/dynamic-profile/view/1890895","19-1890895")</f>
        <v>0</v>
      </c>
      <c r="B1422" t="s">
        <v>79</v>
      </c>
      <c r="C1422" t="s">
        <v>83</v>
      </c>
      <c r="D1422" t="s">
        <v>98</v>
      </c>
      <c r="F1422" t="s">
        <v>750</v>
      </c>
      <c r="G1422" t="s">
        <v>2372</v>
      </c>
      <c r="H1422" t="s">
        <v>3696</v>
      </c>
      <c r="I1422" t="s">
        <v>3937</v>
      </c>
      <c r="J1422" t="s">
        <v>4255</v>
      </c>
      <c r="K1422">
        <v>11372</v>
      </c>
      <c r="L1422" t="s">
        <v>4275</v>
      </c>
      <c r="M1422" t="s">
        <v>4275</v>
      </c>
      <c r="O1422" t="s">
        <v>4282</v>
      </c>
      <c r="P1422" t="s">
        <v>5565</v>
      </c>
      <c r="Q1422" t="s">
        <v>5732</v>
      </c>
      <c r="R1422" t="s">
        <v>5752</v>
      </c>
      <c r="T1422" t="s">
        <v>4276</v>
      </c>
      <c r="V1422" t="s">
        <v>5767</v>
      </c>
      <c r="W1422" t="s">
        <v>5772</v>
      </c>
      <c r="X1422" t="s">
        <v>98</v>
      </c>
      <c r="Y1422">
        <v>1094</v>
      </c>
      <c r="Z1422" t="s">
        <v>5803</v>
      </c>
      <c r="AA1422" t="s">
        <v>5804</v>
      </c>
      <c r="AC1422" t="s">
        <v>7124</v>
      </c>
      <c r="AD1422" t="s">
        <v>7787</v>
      </c>
      <c r="AE1422" t="s">
        <v>9103</v>
      </c>
      <c r="AF1422">
        <v>38</v>
      </c>
      <c r="AG1422" t="s">
        <v>9272</v>
      </c>
      <c r="AH1422" t="s">
        <v>4280</v>
      </c>
      <c r="AI1422">
        <v>15</v>
      </c>
      <c r="AJ1422">
        <v>1</v>
      </c>
      <c r="AK1422">
        <v>4</v>
      </c>
      <c r="AL1422">
        <v>18.61</v>
      </c>
      <c r="AO1422" t="s">
        <v>9298</v>
      </c>
      <c r="AP1422">
        <v>5616</v>
      </c>
      <c r="AV1422">
        <v>8.6</v>
      </c>
      <c r="AW1422" t="s">
        <v>73</v>
      </c>
    </row>
    <row r="1423" spans="1:49">
      <c r="A1423" s="1">
        <f>HYPERLINK("https://cms.ls-nyc.org/matter/dynamic-profile/view/1891963","19-1891963")</f>
        <v>0</v>
      </c>
      <c r="B1423" t="s">
        <v>79</v>
      </c>
      <c r="C1423" t="s">
        <v>83</v>
      </c>
      <c r="D1423" t="s">
        <v>165</v>
      </c>
      <c r="F1423" t="s">
        <v>1277</v>
      </c>
      <c r="G1423" t="s">
        <v>2373</v>
      </c>
      <c r="H1423" t="s">
        <v>3697</v>
      </c>
      <c r="I1423" t="s">
        <v>3929</v>
      </c>
      <c r="J1423" t="s">
        <v>4222</v>
      </c>
      <c r="K1423">
        <v>11433</v>
      </c>
      <c r="L1423" t="s">
        <v>4275</v>
      </c>
      <c r="M1423" t="s">
        <v>4275</v>
      </c>
      <c r="O1423" t="s">
        <v>4281</v>
      </c>
      <c r="P1423" t="s">
        <v>5566</v>
      </c>
      <c r="Q1423" t="s">
        <v>5732</v>
      </c>
      <c r="R1423" t="s">
        <v>5752</v>
      </c>
      <c r="T1423" t="s">
        <v>4276</v>
      </c>
      <c r="V1423" t="s">
        <v>5767</v>
      </c>
      <c r="Y1423">
        <v>1000</v>
      </c>
      <c r="Z1423" t="s">
        <v>5803</v>
      </c>
      <c r="AA1423" t="s">
        <v>5804</v>
      </c>
      <c r="AC1423" t="s">
        <v>7125</v>
      </c>
      <c r="AD1423" t="s">
        <v>7788</v>
      </c>
      <c r="AE1423" t="s">
        <v>9104</v>
      </c>
      <c r="AF1423">
        <v>2</v>
      </c>
      <c r="AG1423" t="s">
        <v>9270</v>
      </c>
      <c r="AH1423" t="s">
        <v>4280</v>
      </c>
      <c r="AI1423">
        <v>2</v>
      </c>
      <c r="AJ1423">
        <v>1</v>
      </c>
      <c r="AK1423">
        <v>0</v>
      </c>
      <c r="AL1423">
        <v>19.05</v>
      </c>
      <c r="AO1423" t="s">
        <v>1425</v>
      </c>
      <c r="AP1423">
        <v>2379</v>
      </c>
      <c r="AV1423">
        <v>0.9</v>
      </c>
      <c r="AW1423" t="s">
        <v>54</v>
      </c>
    </row>
    <row r="1424" spans="1:49">
      <c r="A1424" s="1">
        <f>HYPERLINK("https://cms.ls-nyc.org/matter/dynamic-profile/view/1873162","18-1873162")</f>
        <v>0</v>
      </c>
      <c r="B1424" t="s">
        <v>79</v>
      </c>
      <c r="C1424" t="s">
        <v>83</v>
      </c>
      <c r="D1424" t="s">
        <v>133</v>
      </c>
      <c r="F1424" t="s">
        <v>1278</v>
      </c>
      <c r="G1424" t="s">
        <v>417</v>
      </c>
      <c r="H1424" t="s">
        <v>2950</v>
      </c>
      <c r="I1424" t="s">
        <v>4194</v>
      </c>
      <c r="J1424" t="s">
        <v>4254</v>
      </c>
      <c r="K1424">
        <v>11692</v>
      </c>
      <c r="L1424" t="s">
        <v>4275</v>
      </c>
      <c r="M1424" t="s">
        <v>4275</v>
      </c>
      <c r="O1424" t="s">
        <v>4283</v>
      </c>
      <c r="P1424" t="s">
        <v>5567</v>
      </c>
      <c r="Q1424" t="s">
        <v>5731</v>
      </c>
      <c r="R1424" t="s">
        <v>5751</v>
      </c>
      <c r="T1424" t="s">
        <v>4276</v>
      </c>
      <c r="V1424" t="s">
        <v>5767</v>
      </c>
      <c r="W1424" t="s">
        <v>5771</v>
      </c>
      <c r="X1424" t="s">
        <v>133</v>
      </c>
      <c r="Y1424">
        <v>1515</v>
      </c>
      <c r="Z1424" t="s">
        <v>5803</v>
      </c>
      <c r="AA1424" t="s">
        <v>5804</v>
      </c>
      <c r="AC1424" t="s">
        <v>7126</v>
      </c>
      <c r="AD1424" t="s">
        <v>7789</v>
      </c>
      <c r="AE1424" t="s">
        <v>9105</v>
      </c>
      <c r="AF1424">
        <v>132</v>
      </c>
      <c r="AG1424" t="s">
        <v>9270</v>
      </c>
      <c r="AH1424" t="s">
        <v>4280</v>
      </c>
      <c r="AI1424">
        <v>4</v>
      </c>
      <c r="AJ1424">
        <v>1</v>
      </c>
      <c r="AK1424">
        <v>3</v>
      </c>
      <c r="AL1424">
        <v>20.72</v>
      </c>
      <c r="AO1424" t="s">
        <v>1425</v>
      </c>
      <c r="AP1424">
        <v>5200</v>
      </c>
      <c r="AR1424" t="s">
        <v>9326</v>
      </c>
      <c r="AS1424" t="s">
        <v>9345</v>
      </c>
      <c r="AT1424" t="s">
        <v>9369</v>
      </c>
      <c r="AU1424" t="s">
        <v>9442</v>
      </c>
      <c r="AV1424">
        <v>18.85</v>
      </c>
      <c r="AW1424" t="s">
        <v>54</v>
      </c>
    </row>
    <row r="1425" spans="1:49">
      <c r="A1425" s="1">
        <f>HYPERLINK("https://cms.ls-nyc.org/matter/dynamic-profile/view/1883290","18-1883290")</f>
        <v>0</v>
      </c>
      <c r="B1425" t="s">
        <v>79</v>
      </c>
      <c r="C1425" t="s">
        <v>83</v>
      </c>
      <c r="D1425" t="s">
        <v>145</v>
      </c>
      <c r="F1425" t="s">
        <v>690</v>
      </c>
      <c r="G1425" t="s">
        <v>473</v>
      </c>
      <c r="H1425" t="s">
        <v>3698</v>
      </c>
      <c r="I1425" t="s">
        <v>3846</v>
      </c>
      <c r="J1425" t="s">
        <v>4222</v>
      </c>
      <c r="K1425">
        <v>11435</v>
      </c>
      <c r="L1425" t="s">
        <v>4275</v>
      </c>
      <c r="M1425" t="s">
        <v>4275</v>
      </c>
      <c r="O1425" t="s">
        <v>4282</v>
      </c>
      <c r="P1425" t="s">
        <v>5568</v>
      </c>
      <c r="Q1425" t="s">
        <v>5731</v>
      </c>
      <c r="R1425" t="s">
        <v>5753</v>
      </c>
      <c r="T1425" t="s">
        <v>4276</v>
      </c>
      <c r="V1425" t="s">
        <v>5767</v>
      </c>
      <c r="W1425" t="s">
        <v>5775</v>
      </c>
      <c r="X1425" t="s">
        <v>145</v>
      </c>
      <c r="Y1425">
        <v>1250</v>
      </c>
      <c r="Z1425" t="s">
        <v>5803</v>
      </c>
      <c r="AA1425" t="s">
        <v>5804</v>
      </c>
      <c r="AC1425" t="s">
        <v>7127</v>
      </c>
      <c r="AD1425" t="s">
        <v>7790</v>
      </c>
      <c r="AE1425" t="s">
        <v>9106</v>
      </c>
      <c r="AF1425">
        <v>65</v>
      </c>
      <c r="AG1425" t="s">
        <v>9272</v>
      </c>
      <c r="AH1425" t="s">
        <v>4280</v>
      </c>
      <c r="AI1425">
        <v>4</v>
      </c>
      <c r="AJ1425">
        <v>3</v>
      </c>
      <c r="AK1425">
        <v>3</v>
      </c>
      <c r="AL1425">
        <v>28.92</v>
      </c>
      <c r="AO1425" t="s">
        <v>1425</v>
      </c>
      <c r="AP1425">
        <v>9756</v>
      </c>
      <c r="AV1425">
        <v>0.15</v>
      </c>
      <c r="AW1425" t="s">
        <v>73</v>
      </c>
    </row>
    <row r="1426" spans="1:49">
      <c r="A1426" s="1">
        <f>HYPERLINK("https://cms.ls-nyc.org/matter/dynamic-profile/view/1901090","19-1901090")</f>
        <v>0</v>
      </c>
      <c r="B1426" t="s">
        <v>79</v>
      </c>
      <c r="C1426" t="s">
        <v>83</v>
      </c>
      <c r="D1426" t="s">
        <v>90</v>
      </c>
      <c r="F1426" t="s">
        <v>766</v>
      </c>
      <c r="G1426" t="s">
        <v>2374</v>
      </c>
      <c r="H1426" t="s">
        <v>2594</v>
      </c>
      <c r="I1426" t="s">
        <v>4103</v>
      </c>
      <c r="J1426" t="s">
        <v>4241</v>
      </c>
      <c r="K1426">
        <v>11368</v>
      </c>
      <c r="L1426" t="s">
        <v>4275</v>
      </c>
      <c r="M1426" t="s">
        <v>4277</v>
      </c>
      <c r="N1426" t="s">
        <v>4278</v>
      </c>
      <c r="O1426" t="s">
        <v>4282</v>
      </c>
      <c r="P1426" t="s">
        <v>5569</v>
      </c>
      <c r="Q1426" t="s">
        <v>5731</v>
      </c>
      <c r="R1426" t="s">
        <v>5752</v>
      </c>
      <c r="T1426" t="s">
        <v>4276</v>
      </c>
      <c r="V1426" t="s">
        <v>5767</v>
      </c>
      <c r="Y1426">
        <v>2066.54</v>
      </c>
      <c r="Z1426" t="s">
        <v>5803</v>
      </c>
      <c r="AA1426" t="s">
        <v>5804</v>
      </c>
      <c r="AC1426" t="s">
        <v>7128</v>
      </c>
      <c r="AD1426" t="s">
        <v>7791</v>
      </c>
      <c r="AE1426" t="s">
        <v>9107</v>
      </c>
      <c r="AF1426">
        <v>348</v>
      </c>
      <c r="AG1426" t="s">
        <v>9269</v>
      </c>
      <c r="AH1426" t="s">
        <v>4280</v>
      </c>
      <c r="AI1426">
        <v>10</v>
      </c>
      <c r="AJ1426">
        <v>1</v>
      </c>
      <c r="AK1426">
        <v>2</v>
      </c>
      <c r="AL1426">
        <v>32.52</v>
      </c>
      <c r="AO1426" t="s">
        <v>1425</v>
      </c>
      <c r="AP1426">
        <v>6936</v>
      </c>
      <c r="AV1426">
        <v>1</v>
      </c>
      <c r="AW1426" t="s">
        <v>9549</v>
      </c>
    </row>
    <row r="1427" spans="1:49">
      <c r="A1427" s="1">
        <f>HYPERLINK("https://cms.ls-nyc.org/matter/dynamic-profile/view/1872617","18-1872617")</f>
        <v>0</v>
      </c>
      <c r="B1427" t="s">
        <v>79</v>
      </c>
      <c r="C1427" t="s">
        <v>83</v>
      </c>
      <c r="D1427" t="s">
        <v>143</v>
      </c>
      <c r="F1427" t="s">
        <v>1279</v>
      </c>
      <c r="G1427" t="s">
        <v>2375</v>
      </c>
      <c r="H1427" t="s">
        <v>3699</v>
      </c>
      <c r="I1427" t="s">
        <v>3909</v>
      </c>
      <c r="J1427" t="s">
        <v>4222</v>
      </c>
      <c r="K1427">
        <v>11432</v>
      </c>
      <c r="L1427" t="s">
        <v>4275</v>
      </c>
      <c r="M1427" t="s">
        <v>4275</v>
      </c>
      <c r="O1427" t="s">
        <v>4282</v>
      </c>
      <c r="P1427" t="s">
        <v>5570</v>
      </c>
      <c r="Q1427" t="s">
        <v>5732</v>
      </c>
      <c r="R1427" t="s">
        <v>5753</v>
      </c>
      <c r="T1427" t="s">
        <v>4276</v>
      </c>
      <c r="V1427" t="s">
        <v>5767</v>
      </c>
      <c r="X1427" t="s">
        <v>143</v>
      </c>
      <c r="Y1427">
        <v>1600</v>
      </c>
      <c r="Z1427" t="s">
        <v>5803</v>
      </c>
      <c r="AA1427" t="s">
        <v>5804</v>
      </c>
      <c r="AC1427" t="s">
        <v>7129</v>
      </c>
      <c r="AD1427" t="s">
        <v>4280</v>
      </c>
      <c r="AE1427" t="s">
        <v>7289</v>
      </c>
      <c r="AF1427">
        <v>2</v>
      </c>
      <c r="AG1427" t="s">
        <v>9269</v>
      </c>
      <c r="AH1427" t="s">
        <v>4280</v>
      </c>
      <c r="AI1427">
        <v>2</v>
      </c>
      <c r="AJ1427">
        <v>2</v>
      </c>
      <c r="AK1427">
        <v>2</v>
      </c>
      <c r="AL1427">
        <v>33.47</v>
      </c>
      <c r="AO1427" t="s">
        <v>9298</v>
      </c>
      <c r="AP1427">
        <v>8400</v>
      </c>
      <c r="AV1427">
        <v>0.55</v>
      </c>
      <c r="AW1427" t="s">
        <v>73</v>
      </c>
    </row>
    <row r="1428" spans="1:49">
      <c r="A1428" s="1">
        <f>HYPERLINK("https://cms.ls-nyc.org/matter/dynamic-profile/view/1872640","18-1872640")</f>
        <v>0</v>
      </c>
      <c r="B1428" t="s">
        <v>79</v>
      </c>
      <c r="C1428" t="s">
        <v>83</v>
      </c>
      <c r="D1428" t="s">
        <v>143</v>
      </c>
      <c r="F1428" t="s">
        <v>880</v>
      </c>
      <c r="G1428" t="s">
        <v>1486</v>
      </c>
      <c r="H1428" t="s">
        <v>3135</v>
      </c>
      <c r="I1428" t="s">
        <v>4068</v>
      </c>
      <c r="J1428" t="s">
        <v>4254</v>
      </c>
      <c r="K1428">
        <v>11692</v>
      </c>
      <c r="L1428" t="s">
        <v>4275</v>
      </c>
      <c r="M1428" t="s">
        <v>4275</v>
      </c>
      <c r="O1428" t="s">
        <v>4283</v>
      </c>
      <c r="P1428" t="s">
        <v>5571</v>
      </c>
      <c r="Q1428" t="s">
        <v>5732</v>
      </c>
      <c r="R1428" t="s">
        <v>5752</v>
      </c>
      <c r="T1428" t="s">
        <v>4276</v>
      </c>
      <c r="V1428" t="s">
        <v>5767</v>
      </c>
      <c r="W1428" t="s">
        <v>5772</v>
      </c>
      <c r="X1428" t="s">
        <v>143</v>
      </c>
      <c r="Y1428">
        <v>791</v>
      </c>
      <c r="Z1428" t="s">
        <v>5803</v>
      </c>
      <c r="AA1428" t="s">
        <v>5804</v>
      </c>
      <c r="AC1428" t="s">
        <v>6504</v>
      </c>
      <c r="AD1428" t="s">
        <v>7792</v>
      </c>
      <c r="AE1428" t="s">
        <v>9108</v>
      </c>
      <c r="AF1428">
        <v>2</v>
      </c>
      <c r="AG1428" t="s">
        <v>9269</v>
      </c>
      <c r="AH1428" t="s">
        <v>4280</v>
      </c>
      <c r="AI1428">
        <v>8</v>
      </c>
      <c r="AJ1428">
        <v>1</v>
      </c>
      <c r="AK1428">
        <v>3</v>
      </c>
      <c r="AL1428">
        <v>36</v>
      </c>
      <c r="AO1428" t="s">
        <v>1425</v>
      </c>
      <c r="AP1428">
        <v>9036</v>
      </c>
      <c r="AR1428" t="s">
        <v>9329</v>
      </c>
      <c r="AS1428" t="s">
        <v>9336</v>
      </c>
      <c r="AT1428" t="s">
        <v>9369</v>
      </c>
      <c r="AU1428" t="s">
        <v>9537</v>
      </c>
      <c r="AV1428">
        <v>2.15</v>
      </c>
      <c r="AW1428" t="s">
        <v>73</v>
      </c>
    </row>
    <row r="1429" spans="1:49">
      <c r="A1429" s="1">
        <f>HYPERLINK("https://cms.ls-nyc.org/matter/dynamic-profile/view/1882169","18-1882169")</f>
        <v>0</v>
      </c>
      <c r="B1429" t="s">
        <v>79</v>
      </c>
      <c r="C1429" t="s">
        <v>83</v>
      </c>
      <c r="D1429" t="s">
        <v>130</v>
      </c>
      <c r="F1429" t="s">
        <v>1235</v>
      </c>
      <c r="G1429" t="s">
        <v>1462</v>
      </c>
      <c r="H1429" t="s">
        <v>3700</v>
      </c>
      <c r="J1429" t="s">
        <v>4231</v>
      </c>
      <c r="K1429">
        <v>11419</v>
      </c>
      <c r="L1429" t="s">
        <v>4275</v>
      </c>
      <c r="M1429" t="s">
        <v>4275</v>
      </c>
      <c r="O1429" t="s">
        <v>4282</v>
      </c>
      <c r="P1429" t="s">
        <v>5572</v>
      </c>
      <c r="Q1429" t="s">
        <v>5731</v>
      </c>
      <c r="R1429" t="s">
        <v>5752</v>
      </c>
      <c r="T1429" t="s">
        <v>4276</v>
      </c>
      <c r="V1429" t="s">
        <v>5767</v>
      </c>
      <c r="Y1429">
        <v>2750</v>
      </c>
      <c r="Z1429" t="s">
        <v>5803</v>
      </c>
      <c r="AA1429" t="s">
        <v>5804</v>
      </c>
      <c r="AC1429" t="s">
        <v>7130</v>
      </c>
      <c r="AD1429" t="s">
        <v>7793</v>
      </c>
      <c r="AE1429" t="s">
        <v>9109</v>
      </c>
      <c r="AF1429">
        <v>0</v>
      </c>
      <c r="AG1429" t="s">
        <v>9270</v>
      </c>
      <c r="AH1429" t="s">
        <v>9284</v>
      </c>
      <c r="AI1429">
        <v>4</v>
      </c>
      <c r="AJ1429">
        <v>4</v>
      </c>
      <c r="AK1429">
        <v>7</v>
      </c>
      <c r="AL1429">
        <v>36.81</v>
      </c>
      <c r="AO1429" t="s">
        <v>1425</v>
      </c>
      <c r="AP1429">
        <v>20368</v>
      </c>
      <c r="AV1429">
        <v>12.7</v>
      </c>
      <c r="AW1429" t="s">
        <v>54</v>
      </c>
    </row>
    <row r="1430" spans="1:49">
      <c r="A1430" s="1">
        <f>HYPERLINK("https://cms.ls-nyc.org/matter/dynamic-profile/view/1873969","18-1873969")</f>
        <v>0</v>
      </c>
      <c r="B1430" t="s">
        <v>79</v>
      </c>
      <c r="C1430" t="s">
        <v>83</v>
      </c>
      <c r="D1430" t="s">
        <v>131</v>
      </c>
      <c r="F1430" t="s">
        <v>1280</v>
      </c>
      <c r="G1430" t="s">
        <v>2376</v>
      </c>
      <c r="H1430" t="s">
        <v>3701</v>
      </c>
      <c r="I1430" t="s">
        <v>3858</v>
      </c>
      <c r="J1430" t="s">
        <v>4236</v>
      </c>
      <c r="K1430">
        <v>11416</v>
      </c>
      <c r="L1430" t="s">
        <v>4275</v>
      </c>
      <c r="M1430" t="s">
        <v>4275</v>
      </c>
      <c r="O1430" t="s">
        <v>4282</v>
      </c>
      <c r="P1430" t="s">
        <v>5573</v>
      </c>
      <c r="Q1430" t="s">
        <v>5731</v>
      </c>
      <c r="R1430" t="s">
        <v>5751</v>
      </c>
      <c r="T1430" t="s">
        <v>4276</v>
      </c>
      <c r="V1430" t="s">
        <v>5767</v>
      </c>
      <c r="W1430" t="s">
        <v>5772</v>
      </c>
      <c r="X1430" t="s">
        <v>131</v>
      </c>
      <c r="Y1430">
        <v>1580</v>
      </c>
      <c r="Z1430" t="s">
        <v>5803</v>
      </c>
      <c r="AA1430" t="s">
        <v>5804</v>
      </c>
      <c r="AC1430" t="s">
        <v>7131</v>
      </c>
      <c r="AD1430" t="s">
        <v>4280</v>
      </c>
      <c r="AE1430" t="s">
        <v>9110</v>
      </c>
      <c r="AF1430">
        <v>6</v>
      </c>
      <c r="AG1430" t="s">
        <v>9272</v>
      </c>
      <c r="AH1430" t="s">
        <v>4280</v>
      </c>
      <c r="AI1430">
        <v>6</v>
      </c>
      <c r="AJ1430">
        <v>2</v>
      </c>
      <c r="AK1430">
        <v>1</v>
      </c>
      <c r="AL1430">
        <v>40.25</v>
      </c>
      <c r="AO1430" t="s">
        <v>1425</v>
      </c>
      <c r="AP1430">
        <v>8364</v>
      </c>
      <c r="AV1430">
        <v>26.45</v>
      </c>
      <c r="AW1430" t="s">
        <v>73</v>
      </c>
    </row>
    <row r="1431" spans="1:49">
      <c r="A1431" s="1">
        <f>HYPERLINK("https://cms.ls-nyc.org/matter/dynamic-profile/view/1874541","18-1874541")</f>
        <v>0</v>
      </c>
      <c r="B1431" t="s">
        <v>79</v>
      </c>
      <c r="C1431" t="s">
        <v>83</v>
      </c>
      <c r="D1431" t="s">
        <v>103</v>
      </c>
      <c r="F1431" t="s">
        <v>1281</v>
      </c>
      <c r="G1431" t="s">
        <v>2377</v>
      </c>
      <c r="H1431" t="s">
        <v>3702</v>
      </c>
      <c r="I1431" t="s">
        <v>3852</v>
      </c>
      <c r="J1431" t="s">
        <v>4247</v>
      </c>
      <c r="K1431">
        <v>11415</v>
      </c>
      <c r="L1431" t="s">
        <v>4275</v>
      </c>
      <c r="M1431" t="s">
        <v>4277</v>
      </c>
      <c r="O1431" t="s">
        <v>4282</v>
      </c>
      <c r="P1431" t="s">
        <v>5574</v>
      </c>
      <c r="Q1431" t="s">
        <v>5731</v>
      </c>
      <c r="R1431" t="s">
        <v>5751</v>
      </c>
      <c r="T1431" t="s">
        <v>4276</v>
      </c>
      <c r="V1431" t="s">
        <v>5767</v>
      </c>
      <c r="W1431" t="s">
        <v>5772</v>
      </c>
      <c r="Y1431">
        <v>1700</v>
      </c>
      <c r="Z1431" t="s">
        <v>5803</v>
      </c>
      <c r="AA1431" t="s">
        <v>5804</v>
      </c>
      <c r="AC1431" t="s">
        <v>7132</v>
      </c>
      <c r="AD1431" t="s">
        <v>7794</v>
      </c>
      <c r="AE1431" t="s">
        <v>9111</v>
      </c>
      <c r="AF1431">
        <v>42</v>
      </c>
      <c r="AH1431" t="s">
        <v>4280</v>
      </c>
      <c r="AI1431">
        <v>1</v>
      </c>
      <c r="AJ1431">
        <v>3</v>
      </c>
      <c r="AK1431">
        <v>0</v>
      </c>
      <c r="AL1431">
        <v>46.2</v>
      </c>
      <c r="AN1431" t="s">
        <v>9294</v>
      </c>
      <c r="AO1431" t="s">
        <v>1425</v>
      </c>
      <c r="AP1431">
        <v>9600</v>
      </c>
      <c r="AV1431">
        <v>10.5</v>
      </c>
      <c r="AW1431" t="s">
        <v>54</v>
      </c>
    </row>
    <row r="1432" spans="1:49">
      <c r="A1432" s="1">
        <f>HYPERLINK("https://cms.ls-nyc.org/matter/dynamic-profile/view/1872107","18-1872107")</f>
        <v>0</v>
      </c>
      <c r="B1432" t="s">
        <v>79</v>
      </c>
      <c r="C1432" t="s">
        <v>83</v>
      </c>
      <c r="D1432" t="s">
        <v>192</v>
      </c>
      <c r="F1432" t="s">
        <v>468</v>
      </c>
      <c r="G1432" t="s">
        <v>2378</v>
      </c>
      <c r="H1432" t="s">
        <v>3703</v>
      </c>
      <c r="I1432" t="s">
        <v>3950</v>
      </c>
      <c r="J1432" t="s">
        <v>4229</v>
      </c>
      <c r="K1432">
        <v>11358</v>
      </c>
      <c r="L1432" t="s">
        <v>4275</v>
      </c>
      <c r="M1432" t="s">
        <v>4275</v>
      </c>
      <c r="O1432" t="s">
        <v>4283</v>
      </c>
      <c r="P1432" t="s">
        <v>5575</v>
      </c>
      <c r="Q1432" t="s">
        <v>5732</v>
      </c>
      <c r="R1432" t="s">
        <v>5751</v>
      </c>
      <c r="T1432" t="s">
        <v>4276</v>
      </c>
      <c r="V1432" t="s">
        <v>5767</v>
      </c>
      <c r="W1432" t="s">
        <v>5772</v>
      </c>
      <c r="X1432" t="s">
        <v>113</v>
      </c>
      <c r="Y1432">
        <v>2000</v>
      </c>
      <c r="Z1432" t="s">
        <v>5803</v>
      </c>
      <c r="AA1432" t="s">
        <v>5804</v>
      </c>
      <c r="AC1432" t="s">
        <v>7133</v>
      </c>
      <c r="AD1432" t="s">
        <v>7795</v>
      </c>
      <c r="AE1432" t="s">
        <v>9112</v>
      </c>
      <c r="AF1432">
        <v>2</v>
      </c>
      <c r="AG1432" t="s">
        <v>9269</v>
      </c>
      <c r="AH1432" t="s">
        <v>4280</v>
      </c>
      <c r="AI1432">
        <v>13</v>
      </c>
      <c r="AJ1432">
        <v>2</v>
      </c>
      <c r="AK1432">
        <v>0</v>
      </c>
      <c r="AL1432">
        <v>46.59</v>
      </c>
      <c r="AO1432" t="s">
        <v>9298</v>
      </c>
      <c r="AP1432">
        <v>7668</v>
      </c>
      <c r="AR1432" t="s">
        <v>9327</v>
      </c>
      <c r="AS1432" t="s">
        <v>5806</v>
      </c>
      <c r="AT1432" t="s">
        <v>9370</v>
      </c>
      <c r="AU1432" t="s">
        <v>9455</v>
      </c>
      <c r="AV1432">
        <v>2.4</v>
      </c>
      <c r="AW1432" t="s">
        <v>54</v>
      </c>
    </row>
    <row r="1433" spans="1:49">
      <c r="A1433" s="1">
        <f>HYPERLINK("https://cms.ls-nyc.org/matter/dynamic-profile/view/1877355","18-1877355")</f>
        <v>0</v>
      </c>
      <c r="B1433" t="s">
        <v>79</v>
      </c>
      <c r="C1433" t="s">
        <v>83</v>
      </c>
      <c r="D1433" t="s">
        <v>181</v>
      </c>
      <c r="F1433" t="s">
        <v>1282</v>
      </c>
      <c r="G1433" t="s">
        <v>2379</v>
      </c>
      <c r="H1433" t="s">
        <v>3416</v>
      </c>
      <c r="I1433" t="s">
        <v>4195</v>
      </c>
      <c r="J1433" t="s">
        <v>4241</v>
      </c>
      <c r="K1433">
        <v>11368</v>
      </c>
      <c r="L1433" t="s">
        <v>4275</v>
      </c>
      <c r="M1433" t="s">
        <v>4275</v>
      </c>
      <c r="O1433" t="s">
        <v>4282</v>
      </c>
      <c r="P1433" t="s">
        <v>5576</v>
      </c>
      <c r="Q1433" t="s">
        <v>5731</v>
      </c>
      <c r="T1433" t="s">
        <v>4275</v>
      </c>
      <c r="V1433" t="s">
        <v>5767</v>
      </c>
      <c r="X1433" t="s">
        <v>181</v>
      </c>
      <c r="Y1433">
        <v>1451</v>
      </c>
      <c r="Z1433" t="s">
        <v>5803</v>
      </c>
      <c r="AA1433" t="s">
        <v>5804</v>
      </c>
      <c r="AC1433" t="s">
        <v>7134</v>
      </c>
      <c r="AD1433" t="s">
        <v>7796</v>
      </c>
      <c r="AE1433" t="s">
        <v>9113</v>
      </c>
      <c r="AF1433">
        <v>2000</v>
      </c>
      <c r="AG1433" t="s">
        <v>9272</v>
      </c>
      <c r="AH1433" t="s">
        <v>9286</v>
      </c>
      <c r="AI1433">
        <v>12</v>
      </c>
      <c r="AJ1433">
        <v>1</v>
      </c>
      <c r="AK1433">
        <v>3</v>
      </c>
      <c r="AL1433">
        <v>47.76</v>
      </c>
      <c r="AO1433" t="s">
        <v>1425</v>
      </c>
      <c r="AP1433">
        <v>11988</v>
      </c>
      <c r="AV1433">
        <v>12.65</v>
      </c>
      <c r="AW1433" t="s">
        <v>74</v>
      </c>
    </row>
    <row r="1434" spans="1:49">
      <c r="A1434" s="1">
        <f>HYPERLINK("https://cms.ls-nyc.org/matter/dynamic-profile/view/1878715","18-1878715")</f>
        <v>0</v>
      </c>
      <c r="B1434" t="s">
        <v>79</v>
      </c>
      <c r="C1434" t="s">
        <v>83</v>
      </c>
      <c r="D1434" t="s">
        <v>147</v>
      </c>
      <c r="F1434" t="s">
        <v>1283</v>
      </c>
      <c r="G1434" t="s">
        <v>2195</v>
      </c>
      <c r="H1434" t="s">
        <v>3704</v>
      </c>
      <c r="I1434" t="s">
        <v>4196</v>
      </c>
      <c r="J1434" t="s">
        <v>4251</v>
      </c>
      <c r="K1434">
        <v>11377</v>
      </c>
      <c r="L1434" t="s">
        <v>4275</v>
      </c>
      <c r="M1434" t="s">
        <v>4275</v>
      </c>
      <c r="O1434" t="s">
        <v>4282</v>
      </c>
      <c r="P1434" t="s">
        <v>5577</v>
      </c>
      <c r="Q1434" t="s">
        <v>5732</v>
      </c>
      <c r="R1434" t="s">
        <v>5751</v>
      </c>
      <c r="T1434" t="s">
        <v>4276</v>
      </c>
      <c r="V1434" t="s">
        <v>5767</v>
      </c>
      <c r="W1434" t="s">
        <v>5772</v>
      </c>
      <c r="Y1434">
        <v>1136</v>
      </c>
      <c r="Z1434" t="s">
        <v>5803</v>
      </c>
      <c r="AA1434" t="s">
        <v>5814</v>
      </c>
      <c r="AC1434" t="s">
        <v>6650</v>
      </c>
      <c r="AE1434" t="s">
        <v>9114</v>
      </c>
      <c r="AF1434">
        <v>6</v>
      </c>
      <c r="AG1434" t="s">
        <v>9272</v>
      </c>
      <c r="AH1434" t="s">
        <v>4280</v>
      </c>
      <c r="AI1434">
        <v>24</v>
      </c>
      <c r="AJ1434">
        <v>3</v>
      </c>
      <c r="AK1434">
        <v>1</v>
      </c>
      <c r="AL1434">
        <v>47.81</v>
      </c>
      <c r="AN1434" t="s">
        <v>9293</v>
      </c>
      <c r="AO1434" t="s">
        <v>9298</v>
      </c>
      <c r="AP1434">
        <v>12000</v>
      </c>
      <c r="AV1434">
        <v>36.55</v>
      </c>
      <c r="AW1434" t="s">
        <v>79</v>
      </c>
    </row>
    <row r="1435" spans="1:49">
      <c r="A1435" s="1">
        <f>HYPERLINK("https://cms.ls-nyc.org/matter/dynamic-profile/view/1872433","18-1872433")</f>
        <v>0</v>
      </c>
      <c r="B1435" t="s">
        <v>79</v>
      </c>
      <c r="C1435" t="s">
        <v>83</v>
      </c>
      <c r="D1435" t="s">
        <v>195</v>
      </c>
      <c r="F1435" t="s">
        <v>1240</v>
      </c>
      <c r="G1435" t="s">
        <v>2380</v>
      </c>
      <c r="H1435" t="s">
        <v>3705</v>
      </c>
      <c r="I1435" t="s">
        <v>3884</v>
      </c>
      <c r="J1435" t="s">
        <v>4255</v>
      </c>
      <c r="K1435">
        <v>11372</v>
      </c>
      <c r="L1435" t="s">
        <v>4275</v>
      </c>
      <c r="M1435" t="s">
        <v>4275</v>
      </c>
      <c r="O1435" t="s">
        <v>4282</v>
      </c>
      <c r="P1435" t="s">
        <v>5578</v>
      </c>
      <c r="Q1435" t="s">
        <v>5732</v>
      </c>
      <c r="R1435" t="s">
        <v>5753</v>
      </c>
      <c r="T1435" t="s">
        <v>4276</v>
      </c>
      <c r="V1435" t="s">
        <v>5767</v>
      </c>
      <c r="X1435" t="s">
        <v>5794</v>
      </c>
      <c r="Y1435">
        <v>1496</v>
      </c>
      <c r="Z1435" t="s">
        <v>5803</v>
      </c>
      <c r="AA1435" t="s">
        <v>5804</v>
      </c>
      <c r="AC1435" t="s">
        <v>7135</v>
      </c>
      <c r="AD1435">
        <v>155308254</v>
      </c>
      <c r="AE1435" t="s">
        <v>9115</v>
      </c>
      <c r="AF1435">
        <v>60</v>
      </c>
      <c r="AG1435" t="s">
        <v>9272</v>
      </c>
      <c r="AH1435" t="s">
        <v>4280</v>
      </c>
      <c r="AI1435">
        <v>5</v>
      </c>
      <c r="AJ1435">
        <v>2</v>
      </c>
      <c r="AK1435">
        <v>0</v>
      </c>
      <c r="AL1435">
        <v>51.32</v>
      </c>
      <c r="AP1435">
        <v>8448</v>
      </c>
      <c r="AV1435">
        <v>0.5</v>
      </c>
      <c r="AW1435" t="s">
        <v>73</v>
      </c>
    </row>
    <row r="1436" spans="1:49">
      <c r="A1436" s="1">
        <f>HYPERLINK("https://cms.ls-nyc.org/matter/dynamic-profile/view/1872098","18-1872098")</f>
        <v>0</v>
      </c>
      <c r="B1436" t="s">
        <v>79</v>
      </c>
      <c r="C1436" t="s">
        <v>83</v>
      </c>
      <c r="D1436" t="s">
        <v>192</v>
      </c>
      <c r="F1436" t="s">
        <v>725</v>
      </c>
      <c r="G1436" t="s">
        <v>1798</v>
      </c>
      <c r="H1436" t="s">
        <v>2958</v>
      </c>
      <c r="I1436" t="s">
        <v>3850</v>
      </c>
      <c r="J1436" t="s">
        <v>4234</v>
      </c>
      <c r="K1436">
        <v>11106</v>
      </c>
      <c r="L1436" t="s">
        <v>4275</v>
      </c>
      <c r="M1436" t="s">
        <v>4275</v>
      </c>
      <c r="O1436" t="s">
        <v>4284</v>
      </c>
      <c r="P1436" t="s">
        <v>5247</v>
      </c>
      <c r="Q1436" t="s">
        <v>5731</v>
      </c>
      <c r="R1436" t="s">
        <v>5751</v>
      </c>
      <c r="T1436" t="s">
        <v>4276</v>
      </c>
      <c r="V1436" t="s">
        <v>5767</v>
      </c>
      <c r="W1436" t="s">
        <v>5774</v>
      </c>
      <c r="X1436" t="s">
        <v>5794</v>
      </c>
      <c r="Y1436">
        <v>1100</v>
      </c>
      <c r="Z1436" t="s">
        <v>5803</v>
      </c>
      <c r="AA1436" t="s">
        <v>5815</v>
      </c>
      <c r="AC1436" t="s">
        <v>6303</v>
      </c>
      <c r="AE1436" t="s">
        <v>8305</v>
      </c>
      <c r="AF1436">
        <v>40</v>
      </c>
      <c r="AG1436" t="s">
        <v>9272</v>
      </c>
      <c r="AH1436" t="s">
        <v>4280</v>
      </c>
      <c r="AI1436">
        <v>25</v>
      </c>
      <c r="AJ1436">
        <v>6</v>
      </c>
      <c r="AK1436">
        <v>4</v>
      </c>
      <c r="AL1436">
        <v>51.78</v>
      </c>
      <c r="AM1436" t="s">
        <v>9291</v>
      </c>
      <c r="AN1436" t="s">
        <v>9295</v>
      </c>
      <c r="AO1436" t="s">
        <v>9306</v>
      </c>
      <c r="AP1436">
        <v>26420</v>
      </c>
      <c r="AR1436" t="s">
        <v>9326</v>
      </c>
      <c r="AS1436" t="s">
        <v>5806</v>
      </c>
      <c r="AT1436" t="s">
        <v>9369</v>
      </c>
      <c r="AU1436" t="s">
        <v>9487</v>
      </c>
      <c r="AV1436">
        <v>9.25</v>
      </c>
      <c r="AW1436" t="s">
        <v>73</v>
      </c>
    </row>
    <row r="1437" spans="1:49">
      <c r="A1437" s="1">
        <f>HYPERLINK("https://cms.ls-nyc.org/matter/dynamic-profile/view/1886619","18-1886619")</f>
        <v>0</v>
      </c>
      <c r="B1437" t="s">
        <v>79</v>
      </c>
      <c r="C1437" t="s">
        <v>83</v>
      </c>
      <c r="D1437" t="s">
        <v>100</v>
      </c>
      <c r="F1437" t="s">
        <v>1280</v>
      </c>
      <c r="G1437" t="s">
        <v>2376</v>
      </c>
      <c r="H1437" t="s">
        <v>3701</v>
      </c>
      <c r="I1437" t="s">
        <v>3858</v>
      </c>
      <c r="J1437" t="s">
        <v>4236</v>
      </c>
      <c r="K1437">
        <v>11416</v>
      </c>
      <c r="L1437" t="s">
        <v>4275</v>
      </c>
      <c r="M1437" t="s">
        <v>4275</v>
      </c>
      <c r="O1437" t="s">
        <v>4282</v>
      </c>
      <c r="P1437" t="s">
        <v>5579</v>
      </c>
      <c r="Q1437" t="s">
        <v>5732</v>
      </c>
      <c r="R1437" t="s">
        <v>5753</v>
      </c>
      <c r="T1437" t="s">
        <v>4275</v>
      </c>
      <c r="V1437" t="s">
        <v>5767</v>
      </c>
      <c r="X1437" t="s">
        <v>189</v>
      </c>
      <c r="Y1437">
        <v>285</v>
      </c>
      <c r="Z1437" t="s">
        <v>5803</v>
      </c>
      <c r="AA1437" t="s">
        <v>5804</v>
      </c>
      <c r="AC1437" t="s">
        <v>7131</v>
      </c>
      <c r="AE1437" t="s">
        <v>9110</v>
      </c>
      <c r="AF1437">
        <v>6</v>
      </c>
      <c r="AG1437" t="s">
        <v>9272</v>
      </c>
      <c r="AH1437" t="s">
        <v>9290</v>
      </c>
      <c r="AI1437">
        <v>6</v>
      </c>
      <c r="AJ1437">
        <v>1</v>
      </c>
      <c r="AK1437">
        <v>1</v>
      </c>
      <c r="AL1437">
        <v>51.98</v>
      </c>
      <c r="AO1437" t="s">
        <v>1425</v>
      </c>
      <c r="AP1437">
        <v>8556</v>
      </c>
      <c r="AR1437" t="s">
        <v>9327</v>
      </c>
      <c r="AS1437" t="s">
        <v>9354</v>
      </c>
      <c r="AT1437" t="s">
        <v>9369</v>
      </c>
      <c r="AU1437" t="s">
        <v>9538</v>
      </c>
      <c r="AV1437">
        <v>5.67</v>
      </c>
      <c r="AW1437" t="s">
        <v>55</v>
      </c>
    </row>
    <row r="1438" spans="1:49">
      <c r="A1438" s="1">
        <f>HYPERLINK("https://cms.ls-nyc.org/matter/dynamic-profile/view/1875194","18-1875194")</f>
        <v>0</v>
      </c>
      <c r="B1438" t="s">
        <v>79</v>
      </c>
      <c r="C1438" t="s">
        <v>83</v>
      </c>
      <c r="D1438" t="s">
        <v>177</v>
      </c>
      <c r="F1438" t="s">
        <v>1284</v>
      </c>
      <c r="G1438" t="s">
        <v>2381</v>
      </c>
      <c r="H1438" t="s">
        <v>3706</v>
      </c>
      <c r="I1438" t="s">
        <v>3927</v>
      </c>
      <c r="J1438" t="s">
        <v>4263</v>
      </c>
      <c r="K1438">
        <v>11426</v>
      </c>
      <c r="L1438" t="s">
        <v>4275</v>
      </c>
      <c r="M1438" t="s">
        <v>4275</v>
      </c>
      <c r="O1438" t="s">
        <v>4283</v>
      </c>
      <c r="P1438" t="s">
        <v>5580</v>
      </c>
      <c r="Q1438" t="s">
        <v>5732</v>
      </c>
      <c r="R1438" t="s">
        <v>5751</v>
      </c>
      <c r="T1438" t="s">
        <v>4276</v>
      </c>
      <c r="V1438" t="s">
        <v>5767</v>
      </c>
      <c r="W1438" t="s">
        <v>5772</v>
      </c>
      <c r="X1438" t="s">
        <v>177</v>
      </c>
      <c r="Y1438">
        <v>850</v>
      </c>
      <c r="Z1438" t="s">
        <v>5803</v>
      </c>
      <c r="AA1438" t="s">
        <v>5804</v>
      </c>
      <c r="AC1438" t="s">
        <v>7136</v>
      </c>
      <c r="AD1438" t="s">
        <v>7797</v>
      </c>
      <c r="AE1438" t="s">
        <v>9116</v>
      </c>
      <c r="AF1438">
        <v>3</v>
      </c>
      <c r="AG1438" t="s">
        <v>9269</v>
      </c>
      <c r="AH1438" t="s">
        <v>4280</v>
      </c>
      <c r="AI1438">
        <v>8</v>
      </c>
      <c r="AJ1438">
        <v>1</v>
      </c>
      <c r="AK1438">
        <v>0</v>
      </c>
      <c r="AL1438">
        <v>57.53</v>
      </c>
      <c r="AO1438" t="s">
        <v>1425</v>
      </c>
      <c r="AP1438">
        <v>6984</v>
      </c>
      <c r="AR1438" t="s">
        <v>9329</v>
      </c>
      <c r="AS1438" t="s">
        <v>9336</v>
      </c>
      <c r="AT1438" t="s">
        <v>9369</v>
      </c>
      <c r="AU1438" t="s">
        <v>9539</v>
      </c>
      <c r="AV1438">
        <v>1.2</v>
      </c>
      <c r="AW1438" t="s">
        <v>54</v>
      </c>
    </row>
    <row r="1439" spans="1:49">
      <c r="A1439" s="1">
        <f>HYPERLINK("https://cms.ls-nyc.org/matter/dynamic-profile/view/1898056","19-1898056")</f>
        <v>0</v>
      </c>
      <c r="B1439" t="s">
        <v>79</v>
      </c>
      <c r="C1439" t="s">
        <v>83</v>
      </c>
      <c r="D1439" t="s">
        <v>123</v>
      </c>
      <c r="F1439" t="s">
        <v>1285</v>
      </c>
      <c r="G1439" t="s">
        <v>2382</v>
      </c>
      <c r="H1439" t="s">
        <v>3707</v>
      </c>
      <c r="I1439" t="s">
        <v>3886</v>
      </c>
      <c r="J1439" t="s">
        <v>4245</v>
      </c>
      <c r="K1439">
        <v>11418</v>
      </c>
      <c r="L1439" t="s">
        <v>4275</v>
      </c>
      <c r="M1439" t="s">
        <v>4275</v>
      </c>
      <c r="O1439" t="s">
        <v>4283</v>
      </c>
      <c r="P1439" t="s">
        <v>5581</v>
      </c>
      <c r="Q1439" t="s">
        <v>5732</v>
      </c>
      <c r="R1439" t="s">
        <v>5752</v>
      </c>
      <c r="T1439" t="s">
        <v>4276</v>
      </c>
      <c r="V1439" t="s">
        <v>5767</v>
      </c>
      <c r="X1439" t="s">
        <v>123</v>
      </c>
      <c r="Y1439">
        <v>2224</v>
      </c>
      <c r="Z1439" t="s">
        <v>5803</v>
      </c>
      <c r="AC1439" t="s">
        <v>7137</v>
      </c>
      <c r="AE1439" t="s">
        <v>9117</v>
      </c>
      <c r="AF1439">
        <v>0</v>
      </c>
      <c r="AI1439">
        <v>1</v>
      </c>
      <c r="AJ1439">
        <v>3</v>
      </c>
      <c r="AK1439">
        <v>5</v>
      </c>
      <c r="AL1439">
        <v>61.9</v>
      </c>
      <c r="AO1439" t="s">
        <v>1425</v>
      </c>
      <c r="AP1439">
        <v>26884</v>
      </c>
      <c r="AV1439">
        <v>0.5</v>
      </c>
      <c r="AW1439" t="s">
        <v>9547</v>
      </c>
    </row>
    <row r="1440" spans="1:49">
      <c r="A1440" s="1">
        <f>HYPERLINK("https://cms.ls-nyc.org/matter/dynamic-profile/view/1881367","18-1881367")</f>
        <v>0</v>
      </c>
      <c r="B1440" t="s">
        <v>79</v>
      </c>
      <c r="C1440" t="s">
        <v>83</v>
      </c>
      <c r="D1440" t="s">
        <v>150</v>
      </c>
      <c r="F1440" t="s">
        <v>1286</v>
      </c>
      <c r="G1440" t="s">
        <v>2013</v>
      </c>
      <c r="H1440" t="s">
        <v>3708</v>
      </c>
      <c r="I1440" t="s">
        <v>4197</v>
      </c>
      <c r="J1440" t="s">
        <v>4229</v>
      </c>
      <c r="K1440">
        <v>11367</v>
      </c>
      <c r="L1440" t="s">
        <v>4275</v>
      </c>
      <c r="M1440" t="s">
        <v>4275</v>
      </c>
      <c r="O1440" t="s">
        <v>4282</v>
      </c>
      <c r="P1440" t="s">
        <v>5582</v>
      </c>
      <c r="Q1440" t="s">
        <v>5731</v>
      </c>
      <c r="T1440" t="s">
        <v>5765</v>
      </c>
      <c r="V1440" t="s">
        <v>5767</v>
      </c>
      <c r="Y1440">
        <v>1236</v>
      </c>
      <c r="Z1440" t="s">
        <v>5803</v>
      </c>
      <c r="AA1440" t="s">
        <v>5804</v>
      </c>
      <c r="AC1440" t="s">
        <v>7138</v>
      </c>
      <c r="AD1440" t="s">
        <v>7798</v>
      </c>
      <c r="AE1440" t="s">
        <v>9118</v>
      </c>
      <c r="AF1440">
        <v>2</v>
      </c>
      <c r="AG1440" t="s">
        <v>9272</v>
      </c>
      <c r="AH1440" t="s">
        <v>4280</v>
      </c>
      <c r="AI1440">
        <v>3</v>
      </c>
      <c r="AJ1440">
        <v>2</v>
      </c>
      <c r="AK1440">
        <v>3</v>
      </c>
      <c r="AL1440">
        <v>63.88</v>
      </c>
      <c r="AP1440">
        <v>18793</v>
      </c>
      <c r="AV1440">
        <v>1.65</v>
      </c>
      <c r="AW1440" t="s">
        <v>74</v>
      </c>
    </row>
    <row r="1441" spans="1:49">
      <c r="A1441" s="1">
        <f>HYPERLINK("https://cms.ls-nyc.org/matter/dynamic-profile/view/1879537","18-1879537")</f>
        <v>0</v>
      </c>
      <c r="B1441" t="s">
        <v>79</v>
      </c>
      <c r="C1441" t="s">
        <v>82</v>
      </c>
      <c r="D1441" t="s">
        <v>128</v>
      </c>
      <c r="E1441" t="s">
        <v>282</v>
      </c>
      <c r="F1441" t="s">
        <v>337</v>
      </c>
      <c r="G1441" t="s">
        <v>2383</v>
      </c>
      <c r="H1441" t="s">
        <v>3709</v>
      </c>
      <c r="I1441">
        <v>1</v>
      </c>
      <c r="J1441" t="s">
        <v>4252</v>
      </c>
      <c r="K1441">
        <v>11374</v>
      </c>
      <c r="L1441" t="s">
        <v>4275</v>
      </c>
      <c r="M1441" t="s">
        <v>4275</v>
      </c>
      <c r="O1441" t="s">
        <v>4282</v>
      </c>
      <c r="P1441" t="s">
        <v>5583</v>
      </c>
      <c r="Q1441" t="s">
        <v>5731</v>
      </c>
      <c r="R1441" t="s">
        <v>5753</v>
      </c>
      <c r="S1441" t="s">
        <v>5759</v>
      </c>
      <c r="T1441" t="s">
        <v>4276</v>
      </c>
      <c r="V1441" t="s">
        <v>5767</v>
      </c>
      <c r="W1441" t="s">
        <v>5772</v>
      </c>
      <c r="X1441" t="s">
        <v>128</v>
      </c>
      <c r="Y1441">
        <v>2240</v>
      </c>
      <c r="Z1441" t="s">
        <v>5803</v>
      </c>
      <c r="AA1441" t="s">
        <v>5804</v>
      </c>
      <c r="AB1441" t="s">
        <v>5821</v>
      </c>
      <c r="AC1441" t="s">
        <v>7139</v>
      </c>
      <c r="AD1441" t="s">
        <v>7799</v>
      </c>
      <c r="AE1441" t="s">
        <v>9119</v>
      </c>
      <c r="AF1441">
        <v>4</v>
      </c>
      <c r="AG1441" t="s">
        <v>9269</v>
      </c>
      <c r="AH1441" t="s">
        <v>4280</v>
      </c>
      <c r="AI1441">
        <v>4</v>
      </c>
      <c r="AJ1441">
        <v>6</v>
      </c>
      <c r="AK1441">
        <v>1</v>
      </c>
      <c r="AL1441">
        <v>65.13</v>
      </c>
      <c r="AO1441" t="s">
        <v>1425</v>
      </c>
      <c r="AP1441">
        <v>24787</v>
      </c>
      <c r="AV1441">
        <v>0.5</v>
      </c>
      <c r="AW1441" t="s">
        <v>73</v>
      </c>
    </row>
    <row r="1442" spans="1:49">
      <c r="A1442" s="1">
        <f>HYPERLINK("https://cms.ls-nyc.org/matter/dynamic-profile/view/1888067","19-1888067")</f>
        <v>0</v>
      </c>
      <c r="B1442" t="s">
        <v>79</v>
      </c>
      <c r="C1442" t="s">
        <v>83</v>
      </c>
      <c r="D1442" t="s">
        <v>152</v>
      </c>
      <c r="F1442" t="s">
        <v>942</v>
      </c>
      <c r="G1442" t="s">
        <v>2242</v>
      </c>
      <c r="H1442" t="s">
        <v>3710</v>
      </c>
      <c r="I1442" t="s">
        <v>3866</v>
      </c>
      <c r="J1442" t="s">
        <v>4226</v>
      </c>
      <c r="K1442">
        <v>11385</v>
      </c>
      <c r="L1442" t="s">
        <v>4275</v>
      </c>
      <c r="M1442" t="s">
        <v>4275</v>
      </c>
      <c r="O1442" t="s">
        <v>4281</v>
      </c>
      <c r="P1442" t="s">
        <v>5584</v>
      </c>
      <c r="Q1442" t="s">
        <v>5732</v>
      </c>
      <c r="R1442" t="s">
        <v>5752</v>
      </c>
      <c r="T1442" t="s">
        <v>4276</v>
      </c>
      <c r="V1442" t="s">
        <v>5767</v>
      </c>
      <c r="Y1442">
        <v>2800</v>
      </c>
      <c r="Z1442" t="s">
        <v>5803</v>
      </c>
      <c r="AA1442" t="s">
        <v>5804</v>
      </c>
      <c r="AC1442" t="s">
        <v>7140</v>
      </c>
      <c r="AD1442" t="s">
        <v>7800</v>
      </c>
      <c r="AE1442" t="s">
        <v>9120</v>
      </c>
      <c r="AF1442">
        <v>2</v>
      </c>
      <c r="AG1442" t="s">
        <v>9270</v>
      </c>
      <c r="AH1442" t="s">
        <v>4280</v>
      </c>
      <c r="AI1442">
        <v>1</v>
      </c>
      <c r="AJ1442">
        <v>1</v>
      </c>
      <c r="AK1442">
        <v>2</v>
      </c>
      <c r="AL1442">
        <v>69.3</v>
      </c>
      <c r="AO1442" t="s">
        <v>1425</v>
      </c>
      <c r="AP1442">
        <v>14400</v>
      </c>
      <c r="AV1442">
        <v>14.8</v>
      </c>
      <c r="AW1442" t="s">
        <v>54</v>
      </c>
    </row>
    <row r="1443" spans="1:49">
      <c r="A1443" s="1">
        <f>HYPERLINK("https://cms.ls-nyc.org/matter/dynamic-profile/view/1878145","18-1878145")</f>
        <v>0</v>
      </c>
      <c r="B1443" t="s">
        <v>79</v>
      </c>
      <c r="C1443" t="s">
        <v>83</v>
      </c>
      <c r="D1443" t="s">
        <v>188</v>
      </c>
      <c r="F1443" t="s">
        <v>873</v>
      </c>
      <c r="G1443" t="s">
        <v>2384</v>
      </c>
      <c r="H1443" t="s">
        <v>3711</v>
      </c>
      <c r="I1443">
        <v>2</v>
      </c>
      <c r="J1443" t="s">
        <v>4243</v>
      </c>
      <c r="K1443">
        <v>11691</v>
      </c>
      <c r="L1443" t="s">
        <v>4275</v>
      </c>
      <c r="M1443" t="s">
        <v>4277</v>
      </c>
      <c r="O1443" t="s">
        <v>4282</v>
      </c>
      <c r="P1443" t="s">
        <v>5585</v>
      </c>
      <c r="Q1443" t="s">
        <v>5732</v>
      </c>
      <c r="R1443" t="s">
        <v>5752</v>
      </c>
      <c r="T1443" t="s">
        <v>4276</v>
      </c>
      <c r="V1443" t="s">
        <v>5767</v>
      </c>
      <c r="W1443" t="s">
        <v>5772</v>
      </c>
      <c r="Y1443">
        <v>1250</v>
      </c>
      <c r="Z1443" t="s">
        <v>5803</v>
      </c>
      <c r="AA1443" t="s">
        <v>5804</v>
      </c>
      <c r="AC1443" t="s">
        <v>7141</v>
      </c>
      <c r="AD1443" t="s">
        <v>7801</v>
      </c>
      <c r="AE1443" t="s">
        <v>9121</v>
      </c>
      <c r="AF1443">
        <v>2</v>
      </c>
      <c r="AG1443" t="s">
        <v>9269</v>
      </c>
      <c r="AH1443" t="s">
        <v>4280</v>
      </c>
      <c r="AI1443">
        <v>1</v>
      </c>
      <c r="AJ1443">
        <v>2</v>
      </c>
      <c r="AK1443">
        <v>2</v>
      </c>
      <c r="AL1443">
        <v>71.70999999999999</v>
      </c>
      <c r="AO1443" t="s">
        <v>1425</v>
      </c>
      <c r="AP1443">
        <v>18000</v>
      </c>
      <c r="AV1443">
        <v>1.05</v>
      </c>
      <c r="AW1443" t="s">
        <v>54</v>
      </c>
    </row>
    <row r="1444" spans="1:49">
      <c r="A1444" s="1">
        <f>HYPERLINK("https://cms.ls-nyc.org/matter/dynamic-profile/view/1876375","18-1876375")</f>
        <v>0</v>
      </c>
      <c r="B1444" t="s">
        <v>79</v>
      </c>
      <c r="C1444" t="s">
        <v>83</v>
      </c>
      <c r="D1444" t="s">
        <v>194</v>
      </c>
      <c r="F1444" t="s">
        <v>838</v>
      </c>
      <c r="G1444" t="s">
        <v>2385</v>
      </c>
      <c r="H1444" t="s">
        <v>3712</v>
      </c>
      <c r="I1444" t="s">
        <v>3982</v>
      </c>
      <c r="J1444" t="s">
        <v>4222</v>
      </c>
      <c r="K1444">
        <v>11433</v>
      </c>
      <c r="L1444" t="s">
        <v>4275</v>
      </c>
      <c r="M1444" t="s">
        <v>4275</v>
      </c>
      <c r="O1444" t="s">
        <v>4281</v>
      </c>
      <c r="P1444" t="s">
        <v>5586</v>
      </c>
      <c r="Q1444" t="s">
        <v>5731</v>
      </c>
      <c r="R1444" t="s">
        <v>5752</v>
      </c>
      <c r="T1444" t="s">
        <v>4276</v>
      </c>
      <c r="V1444" t="s">
        <v>5767</v>
      </c>
      <c r="W1444" t="s">
        <v>5772</v>
      </c>
      <c r="X1444" t="s">
        <v>194</v>
      </c>
      <c r="Y1444">
        <v>717.78</v>
      </c>
      <c r="Z1444" t="s">
        <v>5803</v>
      </c>
      <c r="AA1444" t="s">
        <v>5804</v>
      </c>
      <c r="AC1444" t="s">
        <v>7142</v>
      </c>
      <c r="AD1444" t="s">
        <v>7802</v>
      </c>
      <c r="AE1444" t="s">
        <v>9122</v>
      </c>
      <c r="AF1444">
        <v>16</v>
      </c>
      <c r="AG1444" t="s">
        <v>9272</v>
      </c>
      <c r="AH1444" t="s">
        <v>4280</v>
      </c>
      <c r="AI1444">
        <v>24</v>
      </c>
      <c r="AJ1444">
        <v>1</v>
      </c>
      <c r="AK1444">
        <v>0</v>
      </c>
      <c r="AL1444">
        <v>74.14</v>
      </c>
      <c r="AO1444" t="s">
        <v>1425</v>
      </c>
      <c r="AP1444">
        <v>9000</v>
      </c>
      <c r="AV1444">
        <v>11.35</v>
      </c>
      <c r="AW1444" t="s">
        <v>73</v>
      </c>
    </row>
    <row r="1445" spans="1:49">
      <c r="A1445" s="1">
        <f>HYPERLINK("https://cms.ls-nyc.org/matter/dynamic-profile/view/1872601","18-1872601")</f>
        <v>0</v>
      </c>
      <c r="B1445" t="s">
        <v>79</v>
      </c>
      <c r="C1445" t="s">
        <v>83</v>
      </c>
      <c r="D1445" t="s">
        <v>261</v>
      </c>
      <c r="F1445" t="s">
        <v>1287</v>
      </c>
      <c r="G1445" t="s">
        <v>2386</v>
      </c>
      <c r="H1445" t="s">
        <v>3713</v>
      </c>
      <c r="I1445" t="s">
        <v>4198</v>
      </c>
      <c r="J1445" t="s">
        <v>4239</v>
      </c>
      <c r="K1445">
        <v>11420</v>
      </c>
      <c r="L1445" t="s">
        <v>4275</v>
      </c>
      <c r="M1445" t="s">
        <v>4275</v>
      </c>
      <c r="O1445" t="s">
        <v>4283</v>
      </c>
      <c r="P1445" t="s">
        <v>5587</v>
      </c>
      <c r="Q1445" t="s">
        <v>5732</v>
      </c>
      <c r="R1445" t="s">
        <v>5751</v>
      </c>
      <c r="T1445" t="s">
        <v>4276</v>
      </c>
      <c r="V1445" t="s">
        <v>5767</v>
      </c>
      <c r="W1445" t="s">
        <v>5772</v>
      </c>
      <c r="X1445" t="s">
        <v>143</v>
      </c>
      <c r="Y1445">
        <v>800</v>
      </c>
      <c r="Z1445" t="s">
        <v>5803</v>
      </c>
      <c r="AA1445" t="s">
        <v>5804</v>
      </c>
      <c r="AC1445" t="s">
        <v>7143</v>
      </c>
      <c r="AD1445" t="s">
        <v>7803</v>
      </c>
      <c r="AE1445" t="s">
        <v>9123</v>
      </c>
      <c r="AF1445">
        <v>2</v>
      </c>
      <c r="AG1445" t="s">
        <v>9269</v>
      </c>
      <c r="AH1445" t="s">
        <v>4280</v>
      </c>
      <c r="AI1445">
        <v>2</v>
      </c>
      <c r="AJ1445">
        <v>1</v>
      </c>
      <c r="AK1445">
        <v>0</v>
      </c>
      <c r="AL1445">
        <v>74.14</v>
      </c>
      <c r="AO1445" t="s">
        <v>9298</v>
      </c>
      <c r="AP1445">
        <v>9000</v>
      </c>
      <c r="AR1445" t="s">
        <v>9329</v>
      </c>
      <c r="AS1445" t="s">
        <v>5806</v>
      </c>
      <c r="AT1445" t="s">
        <v>9370</v>
      </c>
      <c r="AU1445" t="s">
        <v>9384</v>
      </c>
      <c r="AV1445">
        <v>21.95</v>
      </c>
      <c r="AW1445" t="s">
        <v>73</v>
      </c>
    </row>
    <row r="1446" spans="1:49">
      <c r="A1446" s="1">
        <f>HYPERLINK("https://cms.ls-nyc.org/matter/dynamic-profile/view/1873217","18-1873217")</f>
        <v>0</v>
      </c>
      <c r="B1446" t="s">
        <v>79</v>
      </c>
      <c r="C1446" t="s">
        <v>83</v>
      </c>
      <c r="D1446" t="s">
        <v>148</v>
      </c>
      <c r="F1446" t="s">
        <v>562</v>
      </c>
      <c r="G1446" t="s">
        <v>2113</v>
      </c>
      <c r="H1446" t="s">
        <v>3714</v>
      </c>
      <c r="I1446" t="s">
        <v>3899</v>
      </c>
      <c r="J1446" t="s">
        <v>4250</v>
      </c>
      <c r="K1446">
        <v>11412</v>
      </c>
      <c r="L1446" t="s">
        <v>4275</v>
      </c>
      <c r="M1446" t="s">
        <v>4275</v>
      </c>
      <c r="O1446" t="s">
        <v>4284</v>
      </c>
      <c r="P1446" t="s">
        <v>4915</v>
      </c>
      <c r="Q1446" t="s">
        <v>5734</v>
      </c>
      <c r="R1446" t="s">
        <v>5756</v>
      </c>
      <c r="T1446" t="s">
        <v>4276</v>
      </c>
      <c r="V1446" t="s">
        <v>5767</v>
      </c>
      <c r="W1446" t="s">
        <v>5772</v>
      </c>
      <c r="X1446" t="s">
        <v>148</v>
      </c>
      <c r="Y1446">
        <v>1200</v>
      </c>
      <c r="Z1446" t="s">
        <v>5803</v>
      </c>
      <c r="AA1446" t="s">
        <v>5815</v>
      </c>
      <c r="AC1446" t="s">
        <v>7144</v>
      </c>
      <c r="AE1446" t="s">
        <v>9124</v>
      </c>
      <c r="AF1446">
        <v>20</v>
      </c>
      <c r="AG1446" t="s">
        <v>9280</v>
      </c>
      <c r="AH1446" t="s">
        <v>4280</v>
      </c>
      <c r="AI1446">
        <v>1</v>
      </c>
      <c r="AJ1446">
        <v>1</v>
      </c>
      <c r="AK1446">
        <v>0</v>
      </c>
      <c r="AL1446">
        <v>74.14</v>
      </c>
      <c r="AM1446" t="s">
        <v>9291</v>
      </c>
      <c r="AN1446" t="s">
        <v>9295</v>
      </c>
      <c r="AO1446" t="s">
        <v>1425</v>
      </c>
      <c r="AP1446">
        <v>9000</v>
      </c>
      <c r="AR1446" t="s">
        <v>9329</v>
      </c>
      <c r="AS1446" t="s">
        <v>9336</v>
      </c>
      <c r="AT1446" t="s">
        <v>9370</v>
      </c>
      <c r="AU1446" t="s">
        <v>9540</v>
      </c>
      <c r="AV1446">
        <v>23.64</v>
      </c>
      <c r="AW1446" t="s">
        <v>73</v>
      </c>
    </row>
    <row r="1447" spans="1:49">
      <c r="A1447" s="1">
        <f>HYPERLINK("https://cms.ls-nyc.org/matter/dynamic-profile/view/1893772","19-1893772")</f>
        <v>0</v>
      </c>
      <c r="B1447" t="s">
        <v>79</v>
      </c>
      <c r="C1447" t="s">
        <v>83</v>
      </c>
      <c r="D1447" t="s">
        <v>179</v>
      </c>
      <c r="F1447" t="s">
        <v>1288</v>
      </c>
      <c r="G1447" t="s">
        <v>2387</v>
      </c>
      <c r="H1447" t="s">
        <v>3715</v>
      </c>
      <c r="J1447" t="s">
        <v>4222</v>
      </c>
      <c r="K1447">
        <v>11433</v>
      </c>
      <c r="L1447" t="s">
        <v>4275</v>
      </c>
      <c r="M1447" t="s">
        <v>4275</v>
      </c>
      <c r="O1447" t="s">
        <v>4281</v>
      </c>
      <c r="P1447" t="s">
        <v>5588</v>
      </c>
      <c r="Q1447" t="s">
        <v>5732</v>
      </c>
      <c r="R1447" t="s">
        <v>5751</v>
      </c>
      <c r="T1447" t="s">
        <v>4276</v>
      </c>
      <c r="V1447" t="s">
        <v>5767</v>
      </c>
      <c r="X1447" t="s">
        <v>179</v>
      </c>
      <c r="Y1447">
        <v>1900</v>
      </c>
      <c r="Z1447" t="s">
        <v>5803</v>
      </c>
      <c r="AA1447" t="s">
        <v>5804</v>
      </c>
      <c r="AC1447" t="s">
        <v>7145</v>
      </c>
      <c r="AD1447" t="s">
        <v>7804</v>
      </c>
      <c r="AE1447" t="s">
        <v>9125</v>
      </c>
      <c r="AF1447">
        <v>0</v>
      </c>
      <c r="AG1447" t="s">
        <v>9270</v>
      </c>
      <c r="AH1447" t="s">
        <v>4280</v>
      </c>
      <c r="AI1447">
        <v>-1</v>
      </c>
      <c r="AJ1447">
        <v>3</v>
      </c>
      <c r="AK1447">
        <v>1</v>
      </c>
      <c r="AL1447">
        <v>77.67</v>
      </c>
      <c r="AO1447" t="s">
        <v>1425</v>
      </c>
      <c r="AP1447">
        <v>20000</v>
      </c>
      <c r="AV1447">
        <v>7.9</v>
      </c>
      <c r="AW1447" t="s">
        <v>54</v>
      </c>
    </row>
    <row r="1448" spans="1:49">
      <c r="A1448" s="1">
        <f>HYPERLINK("https://cms.ls-nyc.org/matter/dynamic-profile/view/1873958","18-1873958")</f>
        <v>0</v>
      </c>
      <c r="B1448" t="s">
        <v>79</v>
      </c>
      <c r="C1448" t="s">
        <v>83</v>
      </c>
      <c r="D1448" t="s">
        <v>131</v>
      </c>
      <c r="F1448" t="s">
        <v>401</v>
      </c>
      <c r="G1448" t="s">
        <v>2388</v>
      </c>
      <c r="H1448" t="s">
        <v>3716</v>
      </c>
      <c r="I1448" t="s">
        <v>3950</v>
      </c>
      <c r="J1448" t="s">
        <v>4225</v>
      </c>
      <c r="K1448">
        <v>11385</v>
      </c>
      <c r="L1448" t="s">
        <v>4275</v>
      </c>
      <c r="M1448" t="s">
        <v>4275</v>
      </c>
      <c r="O1448" t="s">
        <v>4281</v>
      </c>
      <c r="P1448" t="s">
        <v>5589</v>
      </c>
      <c r="Q1448" t="s">
        <v>5731</v>
      </c>
      <c r="R1448" t="s">
        <v>5753</v>
      </c>
      <c r="T1448" t="s">
        <v>4276</v>
      </c>
      <c r="V1448" t="s">
        <v>5767</v>
      </c>
      <c r="W1448" t="s">
        <v>5772</v>
      </c>
      <c r="X1448" t="s">
        <v>131</v>
      </c>
      <c r="Y1448">
        <v>1900</v>
      </c>
      <c r="Z1448" t="s">
        <v>5803</v>
      </c>
      <c r="AA1448" t="s">
        <v>5804</v>
      </c>
      <c r="AC1448" t="s">
        <v>7146</v>
      </c>
      <c r="AD1448" t="s">
        <v>7535</v>
      </c>
      <c r="AE1448" t="s">
        <v>9126</v>
      </c>
      <c r="AF1448">
        <v>2</v>
      </c>
      <c r="AG1448" t="s">
        <v>9269</v>
      </c>
      <c r="AH1448" t="s">
        <v>4280</v>
      </c>
      <c r="AI1448">
        <v>3</v>
      </c>
      <c r="AJ1448">
        <v>2</v>
      </c>
      <c r="AK1448">
        <v>3</v>
      </c>
      <c r="AL1448">
        <v>81.58</v>
      </c>
      <c r="AN1448" t="s">
        <v>9294</v>
      </c>
      <c r="AO1448" t="s">
        <v>1425</v>
      </c>
      <c r="AP1448">
        <v>24000</v>
      </c>
      <c r="AV1448">
        <v>3.15</v>
      </c>
      <c r="AW1448" t="s">
        <v>54</v>
      </c>
    </row>
    <row r="1449" spans="1:49">
      <c r="A1449" s="1">
        <f>HYPERLINK("https://cms.ls-nyc.org/matter/dynamic-profile/view/1874606","18-1874606")</f>
        <v>0</v>
      </c>
      <c r="B1449" t="s">
        <v>79</v>
      </c>
      <c r="C1449" t="s">
        <v>83</v>
      </c>
      <c r="D1449" t="s">
        <v>103</v>
      </c>
      <c r="F1449" t="s">
        <v>1289</v>
      </c>
      <c r="G1449" t="s">
        <v>2389</v>
      </c>
      <c r="H1449" t="s">
        <v>2656</v>
      </c>
      <c r="I1449">
        <v>1001</v>
      </c>
      <c r="J1449" t="s">
        <v>4254</v>
      </c>
      <c r="K1449">
        <v>11692</v>
      </c>
      <c r="L1449" t="s">
        <v>4275</v>
      </c>
      <c r="M1449" t="s">
        <v>4275</v>
      </c>
      <c r="O1449" t="s">
        <v>4283</v>
      </c>
      <c r="P1449" t="s">
        <v>5590</v>
      </c>
      <c r="Q1449" t="s">
        <v>5731</v>
      </c>
      <c r="R1449" t="s">
        <v>5751</v>
      </c>
      <c r="T1449" t="s">
        <v>4276</v>
      </c>
      <c r="V1449" t="s">
        <v>5767</v>
      </c>
      <c r="W1449" t="s">
        <v>5771</v>
      </c>
      <c r="X1449" t="s">
        <v>103</v>
      </c>
      <c r="Y1449">
        <v>1820</v>
      </c>
      <c r="Z1449" t="s">
        <v>5803</v>
      </c>
      <c r="AA1449" t="s">
        <v>5804</v>
      </c>
      <c r="AC1449" t="s">
        <v>7147</v>
      </c>
      <c r="AD1449" t="s">
        <v>4280</v>
      </c>
      <c r="AE1449" t="s">
        <v>9127</v>
      </c>
      <c r="AF1449">
        <v>103</v>
      </c>
      <c r="AG1449" t="s">
        <v>9278</v>
      </c>
      <c r="AH1449" t="s">
        <v>9282</v>
      </c>
      <c r="AI1449">
        <v>14</v>
      </c>
      <c r="AJ1449">
        <v>1</v>
      </c>
      <c r="AK1449">
        <v>2</v>
      </c>
      <c r="AL1449">
        <v>82.58</v>
      </c>
      <c r="AO1449" t="s">
        <v>1425</v>
      </c>
      <c r="AP1449">
        <v>17160</v>
      </c>
      <c r="AR1449" t="s">
        <v>9326</v>
      </c>
      <c r="AS1449" t="s">
        <v>5806</v>
      </c>
      <c r="AT1449" t="s">
        <v>9369</v>
      </c>
      <c r="AU1449" t="s">
        <v>9407</v>
      </c>
      <c r="AV1449">
        <v>29.8</v>
      </c>
      <c r="AW1449" t="s">
        <v>73</v>
      </c>
    </row>
    <row r="1450" spans="1:49">
      <c r="A1450" s="1">
        <f>HYPERLINK("https://cms.ls-nyc.org/matter/dynamic-profile/view/1872446","18-1872446")</f>
        <v>0</v>
      </c>
      <c r="B1450" t="s">
        <v>79</v>
      </c>
      <c r="C1450" t="s">
        <v>82</v>
      </c>
      <c r="D1450" t="s">
        <v>195</v>
      </c>
      <c r="E1450" t="s">
        <v>282</v>
      </c>
      <c r="F1450" t="s">
        <v>1290</v>
      </c>
      <c r="G1450" t="s">
        <v>2390</v>
      </c>
      <c r="H1450" t="s">
        <v>3717</v>
      </c>
      <c r="I1450">
        <v>2</v>
      </c>
      <c r="J1450" t="s">
        <v>4239</v>
      </c>
      <c r="K1450">
        <v>11420</v>
      </c>
      <c r="L1450" t="s">
        <v>4275</v>
      </c>
      <c r="M1450" t="s">
        <v>4275</v>
      </c>
      <c r="O1450" t="s">
        <v>4282</v>
      </c>
      <c r="P1450" t="s">
        <v>5591</v>
      </c>
      <c r="Q1450" t="s">
        <v>5732</v>
      </c>
      <c r="R1450" t="s">
        <v>5753</v>
      </c>
      <c r="S1450" t="s">
        <v>5759</v>
      </c>
      <c r="T1450" t="s">
        <v>4276</v>
      </c>
      <c r="V1450" t="s">
        <v>5767</v>
      </c>
      <c r="W1450" t="s">
        <v>5772</v>
      </c>
      <c r="X1450" t="s">
        <v>5794</v>
      </c>
      <c r="Y1450">
        <v>1593.84</v>
      </c>
      <c r="Z1450" t="s">
        <v>5803</v>
      </c>
      <c r="AA1450" t="s">
        <v>5804</v>
      </c>
      <c r="AB1450" t="s">
        <v>5821</v>
      </c>
      <c r="AC1450" t="s">
        <v>7148</v>
      </c>
      <c r="AD1450" t="s">
        <v>7805</v>
      </c>
      <c r="AE1450" t="s">
        <v>9128</v>
      </c>
      <c r="AF1450">
        <v>1</v>
      </c>
      <c r="AG1450" t="s">
        <v>9269</v>
      </c>
      <c r="AH1450" t="s">
        <v>9282</v>
      </c>
      <c r="AI1450">
        <v>21</v>
      </c>
      <c r="AJ1450">
        <v>4</v>
      </c>
      <c r="AK1450">
        <v>2</v>
      </c>
      <c r="AL1450">
        <v>99.05</v>
      </c>
      <c r="AO1450" t="s">
        <v>1425</v>
      </c>
      <c r="AP1450">
        <v>33420</v>
      </c>
      <c r="AV1450">
        <v>1.6</v>
      </c>
      <c r="AW1450" t="s">
        <v>73</v>
      </c>
    </row>
    <row r="1451" spans="1:49">
      <c r="A1451" s="1">
        <f>HYPERLINK("https://cms.ls-nyc.org/matter/dynamic-profile/view/1871508","18-1871508")</f>
        <v>0</v>
      </c>
      <c r="B1451" t="s">
        <v>79</v>
      </c>
      <c r="C1451" t="s">
        <v>83</v>
      </c>
      <c r="D1451" t="s">
        <v>102</v>
      </c>
      <c r="F1451" t="s">
        <v>1036</v>
      </c>
      <c r="G1451" t="s">
        <v>1828</v>
      </c>
      <c r="H1451" t="s">
        <v>3718</v>
      </c>
      <c r="I1451" t="s">
        <v>4199</v>
      </c>
      <c r="J1451" t="s">
        <v>4243</v>
      </c>
      <c r="K1451">
        <v>11691</v>
      </c>
      <c r="L1451" t="s">
        <v>4275</v>
      </c>
      <c r="M1451" t="s">
        <v>4275</v>
      </c>
      <c r="O1451" t="s">
        <v>4283</v>
      </c>
      <c r="P1451" t="s">
        <v>5592</v>
      </c>
      <c r="Q1451" t="s">
        <v>5731</v>
      </c>
      <c r="R1451" t="s">
        <v>5751</v>
      </c>
      <c r="T1451" t="s">
        <v>4276</v>
      </c>
      <c r="V1451" t="s">
        <v>5767</v>
      </c>
      <c r="W1451" t="s">
        <v>5772</v>
      </c>
      <c r="X1451" t="s">
        <v>102</v>
      </c>
      <c r="Y1451">
        <v>443</v>
      </c>
      <c r="Z1451" t="s">
        <v>5803</v>
      </c>
      <c r="AA1451" t="s">
        <v>5804</v>
      </c>
      <c r="AC1451" t="s">
        <v>7149</v>
      </c>
      <c r="AE1451" t="s">
        <v>9129</v>
      </c>
      <c r="AF1451">
        <v>144</v>
      </c>
      <c r="AG1451" t="s">
        <v>9278</v>
      </c>
      <c r="AH1451" t="s">
        <v>5806</v>
      </c>
      <c r="AI1451">
        <v>10</v>
      </c>
      <c r="AJ1451">
        <v>2</v>
      </c>
      <c r="AK1451">
        <v>1</v>
      </c>
      <c r="AL1451">
        <v>105.4</v>
      </c>
      <c r="AO1451" t="s">
        <v>1425</v>
      </c>
      <c r="AP1451">
        <v>21902.4</v>
      </c>
      <c r="AR1451" t="s">
        <v>9326</v>
      </c>
      <c r="AS1451" t="s">
        <v>5806</v>
      </c>
      <c r="AT1451" t="s">
        <v>9369</v>
      </c>
      <c r="AU1451" t="s">
        <v>9541</v>
      </c>
      <c r="AV1451">
        <v>5.8</v>
      </c>
      <c r="AW1451" t="s">
        <v>54</v>
      </c>
    </row>
    <row r="1452" spans="1:49">
      <c r="A1452" s="1">
        <f>HYPERLINK("https://cms.ls-nyc.org/matter/dynamic-profile/view/1888105","19-1888105")</f>
        <v>0</v>
      </c>
      <c r="B1452" t="s">
        <v>79</v>
      </c>
      <c r="C1452" t="s">
        <v>83</v>
      </c>
      <c r="D1452" t="s">
        <v>152</v>
      </c>
      <c r="F1452" t="s">
        <v>1291</v>
      </c>
      <c r="G1452" t="s">
        <v>1509</v>
      </c>
      <c r="H1452" t="s">
        <v>3719</v>
      </c>
      <c r="I1452" t="s">
        <v>3890</v>
      </c>
      <c r="J1452" t="s">
        <v>4241</v>
      </c>
      <c r="K1452">
        <v>11368</v>
      </c>
      <c r="L1452" t="s">
        <v>4275</v>
      </c>
      <c r="M1452" t="s">
        <v>4275</v>
      </c>
      <c r="O1452" t="s">
        <v>4282</v>
      </c>
      <c r="P1452" t="s">
        <v>5593</v>
      </c>
      <c r="Q1452" t="s">
        <v>5731</v>
      </c>
      <c r="R1452" t="s">
        <v>5751</v>
      </c>
      <c r="T1452" t="s">
        <v>4276</v>
      </c>
      <c r="V1452" t="s">
        <v>5767</v>
      </c>
      <c r="X1452" t="s">
        <v>152</v>
      </c>
      <c r="Y1452">
        <v>0</v>
      </c>
      <c r="Z1452" t="s">
        <v>5803</v>
      </c>
      <c r="AA1452" t="s">
        <v>5804</v>
      </c>
      <c r="AC1452" t="s">
        <v>7150</v>
      </c>
      <c r="AD1452" t="s">
        <v>7806</v>
      </c>
      <c r="AE1452" t="s">
        <v>9130</v>
      </c>
      <c r="AF1452">
        <v>0</v>
      </c>
      <c r="AI1452">
        <v>0</v>
      </c>
      <c r="AJ1452">
        <v>2</v>
      </c>
      <c r="AK1452">
        <v>3</v>
      </c>
      <c r="AL1452">
        <v>106.05</v>
      </c>
      <c r="AO1452" t="s">
        <v>9298</v>
      </c>
      <c r="AP1452">
        <v>31200</v>
      </c>
      <c r="AV1452">
        <v>31.8</v>
      </c>
      <c r="AW1452" t="s">
        <v>54</v>
      </c>
    </row>
    <row r="1453" spans="1:49">
      <c r="A1453" s="1">
        <f>HYPERLINK("https://cms.ls-nyc.org/matter/dynamic-profile/view/1874564","18-1874564")</f>
        <v>0</v>
      </c>
      <c r="B1453" t="s">
        <v>79</v>
      </c>
      <c r="C1453" t="s">
        <v>83</v>
      </c>
      <c r="D1453" t="s">
        <v>103</v>
      </c>
      <c r="F1453" t="s">
        <v>1292</v>
      </c>
      <c r="G1453" t="s">
        <v>2391</v>
      </c>
      <c r="H1453" t="s">
        <v>3720</v>
      </c>
      <c r="I1453" t="s">
        <v>3993</v>
      </c>
      <c r="J1453" t="s">
        <v>4234</v>
      </c>
      <c r="K1453">
        <v>11106</v>
      </c>
      <c r="L1453" t="s">
        <v>4275</v>
      </c>
      <c r="M1453" t="s">
        <v>4275</v>
      </c>
      <c r="O1453" t="s">
        <v>4282</v>
      </c>
      <c r="P1453" t="s">
        <v>5594</v>
      </c>
      <c r="Q1453" t="s">
        <v>5732</v>
      </c>
      <c r="R1453" t="s">
        <v>5751</v>
      </c>
      <c r="T1453" t="s">
        <v>4276</v>
      </c>
      <c r="V1453" t="s">
        <v>5767</v>
      </c>
      <c r="W1453" t="s">
        <v>5772</v>
      </c>
      <c r="X1453" t="s">
        <v>103</v>
      </c>
      <c r="Y1453">
        <v>2600</v>
      </c>
      <c r="Z1453" t="s">
        <v>5803</v>
      </c>
      <c r="AA1453" t="s">
        <v>5804</v>
      </c>
      <c r="AC1453" t="s">
        <v>5864</v>
      </c>
      <c r="AE1453" t="s">
        <v>9131</v>
      </c>
      <c r="AF1453">
        <v>2</v>
      </c>
      <c r="AG1453" t="s">
        <v>9269</v>
      </c>
      <c r="AH1453" t="s">
        <v>4280</v>
      </c>
      <c r="AI1453">
        <v>11</v>
      </c>
      <c r="AJ1453">
        <v>3</v>
      </c>
      <c r="AK1453">
        <v>2</v>
      </c>
      <c r="AL1453">
        <v>108.7</v>
      </c>
      <c r="AN1453" t="s">
        <v>9294</v>
      </c>
      <c r="AO1453" t="s">
        <v>1425</v>
      </c>
      <c r="AP1453">
        <v>31980</v>
      </c>
      <c r="AV1453">
        <v>13</v>
      </c>
      <c r="AW1453" t="s">
        <v>54</v>
      </c>
    </row>
    <row r="1454" spans="1:49">
      <c r="A1454" s="1">
        <f>HYPERLINK("https://cms.ls-nyc.org/matter/dynamic-profile/view/1881358","18-1881358")</f>
        <v>0</v>
      </c>
      <c r="B1454" t="s">
        <v>79</v>
      </c>
      <c r="C1454" t="s">
        <v>83</v>
      </c>
      <c r="D1454" t="s">
        <v>150</v>
      </c>
      <c r="F1454" t="s">
        <v>1293</v>
      </c>
      <c r="G1454" t="s">
        <v>2392</v>
      </c>
      <c r="H1454" t="s">
        <v>3721</v>
      </c>
      <c r="I1454" t="s">
        <v>3867</v>
      </c>
      <c r="J1454" t="s">
        <v>4241</v>
      </c>
      <c r="K1454">
        <v>11368</v>
      </c>
      <c r="L1454" t="s">
        <v>4275</v>
      </c>
      <c r="M1454" t="s">
        <v>4275</v>
      </c>
      <c r="O1454" t="s">
        <v>4282</v>
      </c>
      <c r="P1454" t="s">
        <v>5595</v>
      </c>
      <c r="Q1454" t="s">
        <v>5731</v>
      </c>
      <c r="V1454" t="s">
        <v>5767</v>
      </c>
      <c r="Y1454">
        <v>1600</v>
      </c>
      <c r="Z1454" t="s">
        <v>5803</v>
      </c>
      <c r="AA1454" t="s">
        <v>5804</v>
      </c>
      <c r="AC1454" t="s">
        <v>7151</v>
      </c>
      <c r="AE1454" t="s">
        <v>9132</v>
      </c>
      <c r="AF1454">
        <v>2</v>
      </c>
      <c r="AH1454" t="s">
        <v>4280</v>
      </c>
      <c r="AI1454">
        <v>1</v>
      </c>
      <c r="AJ1454">
        <v>2</v>
      </c>
      <c r="AK1454">
        <v>0</v>
      </c>
      <c r="AL1454">
        <v>113.73</v>
      </c>
      <c r="AO1454" t="s">
        <v>1425</v>
      </c>
      <c r="AP1454">
        <v>18720</v>
      </c>
      <c r="AV1454">
        <v>0.75</v>
      </c>
      <c r="AW1454" t="s">
        <v>74</v>
      </c>
    </row>
    <row r="1455" spans="1:49">
      <c r="A1455" s="1">
        <f>HYPERLINK("https://cms.ls-nyc.org/matter/dynamic-profile/view/1879471","18-1879471")</f>
        <v>0</v>
      </c>
      <c r="B1455" t="s">
        <v>79</v>
      </c>
      <c r="C1455" t="s">
        <v>83</v>
      </c>
      <c r="D1455" t="s">
        <v>128</v>
      </c>
      <c r="F1455" t="s">
        <v>376</v>
      </c>
      <c r="G1455" t="s">
        <v>956</v>
      </c>
      <c r="H1455" t="s">
        <v>3722</v>
      </c>
      <c r="I1455" t="s">
        <v>3852</v>
      </c>
      <c r="J1455" t="s">
        <v>4240</v>
      </c>
      <c r="K1455">
        <v>11373</v>
      </c>
      <c r="L1455" t="s">
        <v>4275</v>
      </c>
      <c r="M1455" t="s">
        <v>4275</v>
      </c>
      <c r="O1455" t="s">
        <v>4281</v>
      </c>
      <c r="P1455" t="s">
        <v>5596</v>
      </c>
      <c r="Q1455" t="s">
        <v>5731</v>
      </c>
      <c r="R1455" t="s">
        <v>5752</v>
      </c>
      <c r="T1455" t="s">
        <v>4275</v>
      </c>
      <c r="V1455" t="s">
        <v>5767</v>
      </c>
      <c r="W1455" t="s">
        <v>5772</v>
      </c>
      <c r="Y1455">
        <v>971</v>
      </c>
      <c r="Z1455" t="s">
        <v>5803</v>
      </c>
      <c r="AA1455" t="s">
        <v>5805</v>
      </c>
      <c r="AC1455" t="s">
        <v>7152</v>
      </c>
      <c r="AE1455" t="s">
        <v>9133</v>
      </c>
      <c r="AF1455">
        <v>35</v>
      </c>
      <c r="AH1455" t="s">
        <v>9287</v>
      </c>
      <c r="AI1455">
        <v>30</v>
      </c>
      <c r="AJ1455">
        <v>2</v>
      </c>
      <c r="AK1455">
        <v>1</v>
      </c>
      <c r="AL1455">
        <v>115.19</v>
      </c>
      <c r="AO1455" t="s">
        <v>9298</v>
      </c>
      <c r="AP1455">
        <v>23936</v>
      </c>
      <c r="AV1455">
        <v>2.15</v>
      </c>
      <c r="AW1455" t="s">
        <v>60</v>
      </c>
    </row>
    <row r="1456" spans="1:49">
      <c r="A1456" s="1">
        <f>HYPERLINK("https://cms.ls-nyc.org/matter/dynamic-profile/view/1899353","19-1899353")</f>
        <v>0</v>
      </c>
      <c r="B1456" t="s">
        <v>79</v>
      </c>
      <c r="C1456" t="s">
        <v>83</v>
      </c>
      <c r="D1456" t="s">
        <v>104</v>
      </c>
      <c r="F1456" t="s">
        <v>1294</v>
      </c>
      <c r="G1456" t="s">
        <v>2393</v>
      </c>
      <c r="H1456" t="s">
        <v>3723</v>
      </c>
      <c r="I1456" t="s">
        <v>3867</v>
      </c>
      <c r="J1456" t="s">
        <v>4236</v>
      </c>
      <c r="K1456">
        <v>11417</v>
      </c>
      <c r="L1456" t="s">
        <v>4275</v>
      </c>
      <c r="M1456" t="s">
        <v>4277</v>
      </c>
      <c r="N1456" t="s">
        <v>4278</v>
      </c>
      <c r="O1456" t="s">
        <v>4282</v>
      </c>
      <c r="P1456" t="s">
        <v>5597</v>
      </c>
      <c r="Q1456" t="s">
        <v>5732</v>
      </c>
      <c r="R1456" t="s">
        <v>5752</v>
      </c>
      <c r="T1456" t="s">
        <v>4276</v>
      </c>
      <c r="V1456" t="s">
        <v>5767</v>
      </c>
      <c r="X1456" t="s">
        <v>104</v>
      </c>
      <c r="Y1456">
        <v>1300</v>
      </c>
      <c r="Z1456" t="s">
        <v>5803</v>
      </c>
      <c r="AA1456" t="s">
        <v>5804</v>
      </c>
      <c r="AC1456" t="s">
        <v>7153</v>
      </c>
      <c r="AE1456" t="s">
        <v>9134</v>
      </c>
      <c r="AF1456">
        <v>2</v>
      </c>
      <c r="AG1456" t="s">
        <v>9270</v>
      </c>
      <c r="AH1456" t="s">
        <v>4280</v>
      </c>
      <c r="AI1456">
        <v>3</v>
      </c>
      <c r="AJ1456">
        <v>4</v>
      </c>
      <c r="AK1456">
        <v>0</v>
      </c>
      <c r="AL1456">
        <v>116.5</v>
      </c>
      <c r="AO1456" t="s">
        <v>1425</v>
      </c>
      <c r="AP1456">
        <v>30000</v>
      </c>
      <c r="AV1456">
        <v>0.3</v>
      </c>
      <c r="AW1456" t="s">
        <v>54</v>
      </c>
    </row>
    <row r="1457" spans="1:49">
      <c r="A1457" s="1">
        <f>HYPERLINK("https://cms.ls-nyc.org/matter/dynamic-profile/view/1880822","18-1880822")</f>
        <v>0</v>
      </c>
      <c r="B1457" t="s">
        <v>79</v>
      </c>
      <c r="C1457" t="s">
        <v>83</v>
      </c>
      <c r="D1457" t="s">
        <v>84</v>
      </c>
      <c r="F1457" t="s">
        <v>1295</v>
      </c>
      <c r="G1457" t="s">
        <v>2394</v>
      </c>
      <c r="H1457" t="s">
        <v>3724</v>
      </c>
      <c r="I1457" t="s">
        <v>4158</v>
      </c>
      <c r="J1457" t="s">
        <v>4268</v>
      </c>
      <c r="K1457">
        <v>11378</v>
      </c>
      <c r="L1457" t="s">
        <v>4275</v>
      </c>
      <c r="M1457" t="s">
        <v>4275</v>
      </c>
      <c r="O1457" t="s">
        <v>4282</v>
      </c>
      <c r="P1457" t="s">
        <v>5598</v>
      </c>
      <c r="Q1457" t="s">
        <v>5731</v>
      </c>
      <c r="R1457" t="s">
        <v>5753</v>
      </c>
      <c r="T1457" t="s">
        <v>4276</v>
      </c>
      <c r="V1457" t="s">
        <v>5767</v>
      </c>
      <c r="W1457" t="s">
        <v>5773</v>
      </c>
      <c r="X1457" t="s">
        <v>84</v>
      </c>
      <c r="Y1457">
        <v>1200</v>
      </c>
      <c r="Z1457" t="s">
        <v>5803</v>
      </c>
      <c r="AA1457" t="s">
        <v>5804</v>
      </c>
      <c r="AC1457" t="s">
        <v>7154</v>
      </c>
      <c r="AD1457" t="s">
        <v>7807</v>
      </c>
      <c r="AE1457" t="s">
        <v>9135</v>
      </c>
      <c r="AF1457">
        <v>36</v>
      </c>
      <c r="AG1457" t="s">
        <v>9272</v>
      </c>
      <c r="AH1457" t="s">
        <v>5806</v>
      </c>
      <c r="AI1457">
        <v>10</v>
      </c>
      <c r="AJ1457">
        <v>1</v>
      </c>
      <c r="AK1457">
        <v>0</v>
      </c>
      <c r="AL1457">
        <v>117.63</v>
      </c>
      <c r="AO1457" t="s">
        <v>1425</v>
      </c>
      <c r="AP1457">
        <v>14280</v>
      </c>
      <c r="AV1457">
        <v>0.85</v>
      </c>
      <c r="AW1457" t="s">
        <v>73</v>
      </c>
    </row>
    <row r="1458" spans="1:49">
      <c r="A1458" s="1">
        <f>HYPERLINK("https://cms.ls-nyc.org/matter/dynamic-profile/view/1878857","18-1878857")</f>
        <v>0</v>
      </c>
      <c r="B1458" t="s">
        <v>79</v>
      </c>
      <c r="C1458" t="s">
        <v>82</v>
      </c>
      <c r="D1458" t="s">
        <v>215</v>
      </c>
      <c r="E1458" t="s">
        <v>99</v>
      </c>
      <c r="F1458" t="s">
        <v>1296</v>
      </c>
      <c r="G1458" t="s">
        <v>2395</v>
      </c>
      <c r="H1458" t="s">
        <v>3725</v>
      </c>
      <c r="I1458" t="s">
        <v>3944</v>
      </c>
      <c r="J1458" t="s">
        <v>4234</v>
      </c>
      <c r="K1458">
        <v>11106</v>
      </c>
      <c r="L1458" t="s">
        <v>4275</v>
      </c>
      <c r="M1458" t="s">
        <v>4275</v>
      </c>
      <c r="O1458" t="s">
        <v>4282</v>
      </c>
      <c r="P1458" t="s">
        <v>5599</v>
      </c>
      <c r="Q1458" t="s">
        <v>5731</v>
      </c>
      <c r="R1458" t="s">
        <v>5751</v>
      </c>
      <c r="S1458" t="s">
        <v>5758</v>
      </c>
      <c r="T1458" t="s">
        <v>4276</v>
      </c>
      <c r="V1458" t="s">
        <v>5767</v>
      </c>
      <c r="W1458" t="s">
        <v>5775</v>
      </c>
      <c r="X1458" t="s">
        <v>279</v>
      </c>
      <c r="Y1458">
        <v>1400</v>
      </c>
      <c r="Z1458" t="s">
        <v>5803</v>
      </c>
      <c r="AA1458" t="s">
        <v>5804</v>
      </c>
      <c r="AB1458" t="s">
        <v>5820</v>
      </c>
      <c r="AC1458" t="s">
        <v>7155</v>
      </c>
      <c r="AD1458" t="s">
        <v>7808</v>
      </c>
      <c r="AE1458" t="s">
        <v>9136</v>
      </c>
      <c r="AF1458">
        <v>72</v>
      </c>
      <c r="AG1458" t="s">
        <v>9272</v>
      </c>
      <c r="AH1458" t="s">
        <v>4280</v>
      </c>
      <c r="AI1458">
        <v>6</v>
      </c>
      <c r="AJ1458">
        <v>3</v>
      </c>
      <c r="AK1458">
        <v>3</v>
      </c>
      <c r="AL1458">
        <v>118.55</v>
      </c>
      <c r="AO1458" t="s">
        <v>1425</v>
      </c>
      <c r="AP1458">
        <v>40000</v>
      </c>
      <c r="AR1458" t="s">
        <v>9326</v>
      </c>
      <c r="AS1458" t="s">
        <v>9336</v>
      </c>
      <c r="AT1458" t="s">
        <v>9369</v>
      </c>
      <c r="AU1458" t="s">
        <v>9442</v>
      </c>
      <c r="AV1458">
        <v>9.6</v>
      </c>
      <c r="AW1458" t="s">
        <v>73</v>
      </c>
    </row>
    <row r="1459" spans="1:49">
      <c r="A1459" s="1">
        <f>HYPERLINK("https://cms.ls-nyc.org/matter/dynamic-profile/view/1899389","19-1899389")</f>
        <v>0</v>
      </c>
      <c r="B1459" t="s">
        <v>79</v>
      </c>
      <c r="C1459" t="s">
        <v>83</v>
      </c>
      <c r="D1459" t="s">
        <v>104</v>
      </c>
      <c r="F1459" t="s">
        <v>562</v>
      </c>
      <c r="G1459" t="s">
        <v>2396</v>
      </c>
      <c r="H1459" t="s">
        <v>3726</v>
      </c>
      <c r="J1459" t="s">
        <v>4236</v>
      </c>
      <c r="K1459">
        <v>11416</v>
      </c>
      <c r="L1459" t="s">
        <v>4275</v>
      </c>
      <c r="M1459" t="s">
        <v>4277</v>
      </c>
      <c r="O1459" t="s">
        <v>4283</v>
      </c>
      <c r="P1459" t="s">
        <v>5600</v>
      </c>
      <c r="Q1459" t="s">
        <v>5732</v>
      </c>
      <c r="R1459" t="s">
        <v>5752</v>
      </c>
      <c r="T1459" t="s">
        <v>4276</v>
      </c>
      <c r="V1459" t="s">
        <v>5767</v>
      </c>
      <c r="X1459" t="s">
        <v>104</v>
      </c>
      <c r="Y1459">
        <v>1350</v>
      </c>
      <c r="Z1459" t="s">
        <v>5803</v>
      </c>
      <c r="AC1459" t="s">
        <v>7156</v>
      </c>
      <c r="AF1459">
        <v>0</v>
      </c>
      <c r="AI1459">
        <v>10</v>
      </c>
      <c r="AJ1459">
        <v>1</v>
      </c>
      <c r="AK1459">
        <v>0</v>
      </c>
      <c r="AL1459">
        <v>118.65</v>
      </c>
      <c r="AO1459" t="s">
        <v>1425</v>
      </c>
      <c r="AP1459">
        <v>14820</v>
      </c>
      <c r="AV1459">
        <v>1</v>
      </c>
      <c r="AW1459" t="s">
        <v>9547</v>
      </c>
    </row>
    <row r="1460" spans="1:49">
      <c r="A1460" s="1">
        <f>HYPERLINK("https://cms.ls-nyc.org/matter/dynamic-profile/view/1881906","18-1881906")</f>
        <v>0</v>
      </c>
      <c r="B1460" t="s">
        <v>79</v>
      </c>
      <c r="C1460" t="s">
        <v>83</v>
      </c>
      <c r="D1460" t="s">
        <v>170</v>
      </c>
      <c r="F1460" t="s">
        <v>339</v>
      </c>
      <c r="G1460" t="s">
        <v>1519</v>
      </c>
      <c r="H1460" t="s">
        <v>3727</v>
      </c>
      <c r="I1460" t="s">
        <v>4200</v>
      </c>
      <c r="J1460" t="s">
        <v>4222</v>
      </c>
      <c r="K1460">
        <v>11435</v>
      </c>
      <c r="L1460" t="s">
        <v>4275</v>
      </c>
      <c r="M1460" t="s">
        <v>4275</v>
      </c>
      <c r="O1460" t="s">
        <v>4282</v>
      </c>
      <c r="P1460" t="s">
        <v>5601</v>
      </c>
      <c r="Q1460" t="s">
        <v>5731</v>
      </c>
      <c r="R1460" t="s">
        <v>5752</v>
      </c>
      <c r="T1460" t="s">
        <v>4275</v>
      </c>
      <c r="V1460" t="s">
        <v>5767</v>
      </c>
      <c r="Y1460">
        <v>1365</v>
      </c>
      <c r="Z1460" t="s">
        <v>5803</v>
      </c>
      <c r="AA1460" t="s">
        <v>5804</v>
      </c>
      <c r="AC1460" t="s">
        <v>7157</v>
      </c>
      <c r="AE1460" t="s">
        <v>9137</v>
      </c>
      <c r="AF1460">
        <v>50</v>
      </c>
      <c r="AG1460" t="s">
        <v>9272</v>
      </c>
      <c r="AH1460" t="s">
        <v>4280</v>
      </c>
      <c r="AI1460">
        <v>10</v>
      </c>
      <c r="AJ1460">
        <v>1</v>
      </c>
      <c r="AK1460">
        <v>2</v>
      </c>
      <c r="AL1460">
        <v>120.31</v>
      </c>
      <c r="AP1460">
        <v>25000</v>
      </c>
      <c r="AV1460">
        <v>3.8</v>
      </c>
      <c r="AW1460" t="s">
        <v>74</v>
      </c>
    </row>
    <row r="1461" spans="1:49">
      <c r="A1461" s="1">
        <f>HYPERLINK("https://cms.ls-nyc.org/matter/dynamic-profile/view/1889384","19-1889384")</f>
        <v>0</v>
      </c>
      <c r="B1461" t="s">
        <v>79</v>
      </c>
      <c r="C1461" t="s">
        <v>83</v>
      </c>
      <c r="D1461" t="s">
        <v>119</v>
      </c>
      <c r="F1461" t="s">
        <v>1297</v>
      </c>
      <c r="G1461" t="s">
        <v>2397</v>
      </c>
      <c r="H1461" t="s">
        <v>3728</v>
      </c>
      <c r="I1461" t="s">
        <v>4018</v>
      </c>
      <c r="J1461" t="s">
        <v>4247</v>
      </c>
      <c r="K1461">
        <v>11415</v>
      </c>
      <c r="L1461" t="s">
        <v>4277</v>
      </c>
      <c r="M1461" t="s">
        <v>4277</v>
      </c>
      <c r="O1461" t="s">
        <v>4282</v>
      </c>
      <c r="P1461" t="s">
        <v>5602</v>
      </c>
      <c r="V1461" t="s">
        <v>5767</v>
      </c>
      <c r="Y1461">
        <v>1601</v>
      </c>
      <c r="Z1461" t="s">
        <v>5803</v>
      </c>
      <c r="AA1461" t="s">
        <v>5804</v>
      </c>
      <c r="AC1461" t="s">
        <v>7158</v>
      </c>
      <c r="AE1461" t="s">
        <v>9138</v>
      </c>
      <c r="AF1461">
        <v>100</v>
      </c>
      <c r="AG1461" t="s">
        <v>9272</v>
      </c>
      <c r="AH1461" t="s">
        <v>4280</v>
      </c>
      <c r="AI1461">
        <v>15</v>
      </c>
      <c r="AJ1461">
        <v>1</v>
      </c>
      <c r="AK1461">
        <v>0</v>
      </c>
      <c r="AL1461">
        <v>122.5</v>
      </c>
      <c r="AO1461" t="s">
        <v>1425</v>
      </c>
      <c r="AP1461">
        <v>15300</v>
      </c>
      <c r="AV1461">
        <v>20.9</v>
      </c>
      <c r="AW1461" t="s">
        <v>74</v>
      </c>
    </row>
    <row r="1462" spans="1:49">
      <c r="A1462" s="1">
        <f>HYPERLINK("https://cms.ls-nyc.org/matter/dynamic-profile/view/1889357","19-1889357")</f>
        <v>0</v>
      </c>
      <c r="B1462" t="s">
        <v>79</v>
      </c>
      <c r="C1462" t="s">
        <v>83</v>
      </c>
      <c r="D1462" t="s">
        <v>119</v>
      </c>
      <c r="F1462" t="s">
        <v>1298</v>
      </c>
      <c r="G1462" t="s">
        <v>2398</v>
      </c>
      <c r="H1462" t="s">
        <v>3729</v>
      </c>
      <c r="I1462" t="s">
        <v>3852</v>
      </c>
      <c r="J1462" t="s">
        <v>4229</v>
      </c>
      <c r="K1462">
        <v>11367</v>
      </c>
      <c r="L1462" t="s">
        <v>4275</v>
      </c>
      <c r="M1462" t="s">
        <v>4275</v>
      </c>
      <c r="O1462" t="s">
        <v>4282</v>
      </c>
      <c r="P1462" t="s">
        <v>5603</v>
      </c>
      <c r="Q1462" t="s">
        <v>5731</v>
      </c>
      <c r="R1462" t="s">
        <v>5754</v>
      </c>
      <c r="T1462" t="s">
        <v>4276</v>
      </c>
      <c r="V1462" t="s">
        <v>5767</v>
      </c>
      <c r="W1462" t="s">
        <v>5772</v>
      </c>
      <c r="X1462" t="s">
        <v>119</v>
      </c>
      <c r="Y1462">
        <v>1211</v>
      </c>
      <c r="Z1462" t="s">
        <v>5803</v>
      </c>
      <c r="AA1462" t="s">
        <v>5804</v>
      </c>
      <c r="AC1462" t="s">
        <v>7159</v>
      </c>
      <c r="AD1462" t="s">
        <v>4700</v>
      </c>
      <c r="AE1462" t="s">
        <v>9139</v>
      </c>
      <c r="AF1462">
        <v>12</v>
      </c>
      <c r="AG1462" t="s">
        <v>9270</v>
      </c>
      <c r="AH1462" t="s">
        <v>4280</v>
      </c>
      <c r="AI1462">
        <v>29</v>
      </c>
      <c r="AJ1462">
        <v>1</v>
      </c>
      <c r="AK1462">
        <v>1</v>
      </c>
      <c r="AL1462">
        <v>130.1</v>
      </c>
      <c r="AO1462" t="s">
        <v>1425</v>
      </c>
      <c r="AP1462">
        <v>22000</v>
      </c>
      <c r="AU1462" t="s">
        <v>9542</v>
      </c>
      <c r="AV1462">
        <v>1.9</v>
      </c>
      <c r="AW1462" t="s">
        <v>73</v>
      </c>
    </row>
    <row r="1463" spans="1:49">
      <c r="A1463" s="1">
        <f>HYPERLINK("https://cms.ls-nyc.org/matter/dynamic-profile/view/1873035","18-1873035")</f>
        <v>0</v>
      </c>
      <c r="B1463" t="s">
        <v>79</v>
      </c>
      <c r="C1463" t="s">
        <v>83</v>
      </c>
      <c r="D1463" t="s">
        <v>224</v>
      </c>
      <c r="F1463" t="s">
        <v>1067</v>
      </c>
      <c r="G1463" t="s">
        <v>1531</v>
      </c>
      <c r="H1463" t="s">
        <v>3730</v>
      </c>
      <c r="I1463" t="s">
        <v>4012</v>
      </c>
      <c r="J1463" t="s">
        <v>4222</v>
      </c>
      <c r="K1463">
        <v>11432</v>
      </c>
      <c r="L1463" t="s">
        <v>4277</v>
      </c>
      <c r="M1463" t="s">
        <v>4277</v>
      </c>
      <c r="O1463" t="s">
        <v>4282</v>
      </c>
      <c r="P1463" t="s">
        <v>5604</v>
      </c>
      <c r="Q1463" t="s">
        <v>5732</v>
      </c>
      <c r="R1463" t="s">
        <v>5751</v>
      </c>
      <c r="T1463" t="s">
        <v>4276</v>
      </c>
      <c r="V1463" t="s">
        <v>5767</v>
      </c>
      <c r="Y1463">
        <v>1100</v>
      </c>
      <c r="Z1463" t="s">
        <v>5803</v>
      </c>
      <c r="AA1463" t="s">
        <v>5810</v>
      </c>
      <c r="AC1463" t="s">
        <v>7160</v>
      </c>
      <c r="AE1463" t="s">
        <v>9140</v>
      </c>
      <c r="AF1463">
        <v>4</v>
      </c>
      <c r="AG1463" t="s">
        <v>9269</v>
      </c>
      <c r="AH1463" t="s">
        <v>4280</v>
      </c>
      <c r="AI1463">
        <v>12</v>
      </c>
      <c r="AJ1463">
        <v>1</v>
      </c>
      <c r="AK1463">
        <v>1</v>
      </c>
      <c r="AL1463">
        <v>132.61</v>
      </c>
      <c r="AO1463" t="s">
        <v>1425</v>
      </c>
      <c r="AP1463">
        <v>21828</v>
      </c>
      <c r="AV1463">
        <v>30.5</v>
      </c>
      <c r="AW1463" t="s">
        <v>73</v>
      </c>
    </row>
    <row r="1464" spans="1:49">
      <c r="A1464" s="1">
        <f>HYPERLINK("https://cms.ls-nyc.org/matter/dynamic-profile/view/1872627","18-1872627")</f>
        <v>0</v>
      </c>
      <c r="B1464" t="s">
        <v>79</v>
      </c>
      <c r="C1464" t="s">
        <v>82</v>
      </c>
      <c r="D1464" t="s">
        <v>143</v>
      </c>
      <c r="E1464" t="s">
        <v>282</v>
      </c>
      <c r="F1464" t="s">
        <v>573</v>
      </c>
      <c r="G1464" t="s">
        <v>1958</v>
      </c>
      <c r="H1464" t="s">
        <v>3731</v>
      </c>
      <c r="I1464" t="s">
        <v>3985</v>
      </c>
      <c r="J1464" t="s">
        <v>4222</v>
      </c>
      <c r="K1464">
        <v>11432</v>
      </c>
      <c r="L1464" t="s">
        <v>4275</v>
      </c>
      <c r="M1464" t="s">
        <v>4275</v>
      </c>
      <c r="O1464" t="s">
        <v>4282</v>
      </c>
      <c r="P1464" t="s">
        <v>5605</v>
      </c>
      <c r="Q1464" t="s">
        <v>5732</v>
      </c>
      <c r="R1464" t="s">
        <v>5752</v>
      </c>
      <c r="S1464" t="s">
        <v>5759</v>
      </c>
      <c r="T1464" t="s">
        <v>4276</v>
      </c>
      <c r="V1464" t="s">
        <v>5767</v>
      </c>
      <c r="W1464" t="s">
        <v>5772</v>
      </c>
      <c r="X1464" t="s">
        <v>143</v>
      </c>
      <c r="Y1464">
        <v>1000</v>
      </c>
      <c r="Z1464" t="s">
        <v>5803</v>
      </c>
      <c r="AA1464" t="s">
        <v>5804</v>
      </c>
      <c r="AB1464" t="s">
        <v>5821</v>
      </c>
      <c r="AC1464" t="s">
        <v>7161</v>
      </c>
      <c r="AD1464" t="s">
        <v>4280</v>
      </c>
      <c r="AE1464" t="s">
        <v>9141</v>
      </c>
      <c r="AF1464">
        <v>2</v>
      </c>
      <c r="AG1464" t="s">
        <v>9269</v>
      </c>
      <c r="AH1464" t="s">
        <v>4280</v>
      </c>
      <c r="AI1464">
        <v>8</v>
      </c>
      <c r="AJ1464">
        <v>2</v>
      </c>
      <c r="AK1464">
        <v>0</v>
      </c>
      <c r="AL1464">
        <v>137.69</v>
      </c>
      <c r="AO1464" t="s">
        <v>9298</v>
      </c>
      <c r="AP1464">
        <v>22664</v>
      </c>
      <c r="AV1464">
        <v>1.2</v>
      </c>
      <c r="AW1464" t="s">
        <v>73</v>
      </c>
    </row>
    <row r="1465" spans="1:49">
      <c r="A1465" s="1">
        <f>HYPERLINK("https://cms.ls-nyc.org/matter/dynamic-profile/view/1872462","18-1872462")</f>
        <v>0</v>
      </c>
      <c r="B1465" t="s">
        <v>79</v>
      </c>
      <c r="C1465" t="s">
        <v>82</v>
      </c>
      <c r="D1465" t="s">
        <v>195</v>
      </c>
      <c r="E1465" t="s">
        <v>282</v>
      </c>
      <c r="F1465" t="s">
        <v>642</v>
      </c>
      <c r="G1465" t="s">
        <v>2399</v>
      </c>
      <c r="H1465" t="s">
        <v>3732</v>
      </c>
      <c r="I1465" t="s">
        <v>3842</v>
      </c>
      <c r="J1465" t="s">
        <v>4243</v>
      </c>
      <c r="K1465">
        <v>11691</v>
      </c>
      <c r="L1465" t="s">
        <v>4275</v>
      </c>
      <c r="M1465" t="s">
        <v>4275</v>
      </c>
      <c r="O1465" t="s">
        <v>4283</v>
      </c>
      <c r="P1465" t="s">
        <v>5606</v>
      </c>
      <c r="Q1465" t="s">
        <v>5732</v>
      </c>
      <c r="R1465" t="s">
        <v>5753</v>
      </c>
      <c r="S1465" t="s">
        <v>5759</v>
      </c>
      <c r="T1465" t="s">
        <v>4276</v>
      </c>
      <c r="V1465" t="s">
        <v>5767</v>
      </c>
      <c r="W1465" t="s">
        <v>5772</v>
      </c>
      <c r="X1465" t="s">
        <v>5794</v>
      </c>
      <c r="Y1465">
        <v>545</v>
      </c>
      <c r="Z1465" t="s">
        <v>5803</v>
      </c>
      <c r="AA1465" t="s">
        <v>5804</v>
      </c>
      <c r="AB1465" t="s">
        <v>5821</v>
      </c>
      <c r="AC1465" t="s">
        <v>7053</v>
      </c>
      <c r="AD1465" t="s">
        <v>7809</v>
      </c>
      <c r="AE1465" t="s">
        <v>9142</v>
      </c>
      <c r="AF1465">
        <v>6</v>
      </c>
      <c r="AG1465" t="s">
        <v>9272</v>
      </c>
      <c r="AH1465" t="s">
        <v>4280</v>
      </c>
      <c r="AI1465">
        <v>41</v>
      </c>
      <c r="AJ1465">
        <v>2</v>
      </c>
      <c r="AK1465">
        <v>0</v>
      </c>
      <c r="AL1465">
        <v>140.27</v>
      </c>
      <c r="AO1465" t="s">
        <v>1425</v>
      </c>
      <c r="AP1465">
        <v>23088</v>
      </c>
      <c r="AS1465" t="s">
        <v>5806</v>
      </c>
      <c r="AV1465">
        <v>0.2</v>
      </c>
      <c r="AW1465" t="s">
        <v>73</v>
      </c>
    </row>
    <row r="1466" spans="1:49">
      <c r="A1466" s="1">
        <f>HYPERLINK("https://cms.ls-nyc.org/matter/dynamic-profile/view/1890804","19-1890804")</f>
        <v>0</v>
      </c>
      <c r="B1466" t="s">
        <v>79</v>
      </c>
      <c r="C1466" t="s">
        <v>83</v>
      </c>
      <c r="D1466" t="s">
        <v>116</v>
      </c>
      <c r="F1466" t="s">
        <v>1299</v>
      </c>
      <c r="G1466" t="s">
        <v>2400</v>
      </c>
      <c r="H1466" t="s">
        <v>3733</v>
      </c>
      <c r="J1466" t="s">
        <v>4222</v>
      </c>
      <c r="K1466">
        <v>11432</v>
      </c>
      <c r="L1466" t="s">
        <v>4275</v>
      </c>
      <c r="M1466" t="s">
        <v>4275</v>
      </c>
      <c r="O1466" t="s">
        <v>4282</v>
      </c>
      <c r="P1466" t="s">
        <v>5607</v>
      </c>
      <c r="Q1466" t="s">
        <v>5731</v>
      </c>
      <c r="R1466" t="s">
        <v>5753</v>
      </c>
      <c r="T1466" t="s">
        <v>4276</v>
      </c>
      <c r="V1466" t="s">
        <v>5767</v>
      </c>
      <c r="W1466" t="s">
        <v>5771</v>
      </c>
      <c r="X1466" t="s">
        <v>116</v>
      </c>
      <c r="Y1466">
        <v>0</v>
      </c>
      <c r="Z1466" t="s">
        <v>5803</v>
      </c>
      <c r="AA1466" t="s">
        <v>5808</v>
      </c>
      <c r="AC1466" t="s">
        <v>7162</v>
      </c>
      <c r="AE1466" t="s">
        <v>9143</v>
      </c>
      <c r="AF1466">
        <v>3</v>
      </c>
      <c r="AG1466" t="s">
        <v>9269</v>
      </c>
      <c r="AH1466" t="s">
        <v>4280</v>
      </c>
      <c r="AI1466">
        <v>1</v>
      </c>
      <c r="AJ1466">
        <v>6</v>
      </c>
      <c r="AK1466">
        <v>0</v>
      </c>
      <c r="AL1466">
        <v>144.55</v>
      </c>
      <c r="AO1466" t="s">
        <v>1425</v>
      </c>
      <c r="AP1466">
        <v>50000</v>
      </c>
      <c r="AV1466">
        <v>0</v>
      </c>
      <c r="AW1466" t="s">
        <v>73</v>
      </c>
    </row>
    <row r="1467" spans="1:49">
      <c r="A1467" s="1">
        <f>HYPERLINK("https://cms.ls-nyc.org/matter/dynamic-profile/view/1873928","18-1873928")</f>
        <v>0</v>
      </c>
      <c r="B1467" t="s">
        <v>79</v>
      </c>
      <c r="C1467" t="s">
        <v>83</v>
      </c>
      <c r="D1467" t="s">
        <v>131</v>
      </c>
      <c r="F1467" t="s">
        <v>795</v>
      </c>
      <c r="G1467" t="s">
        <v>2401</v>
      </c>
      <c r="H1467" t="s">
        <v>3734</v>
      </c>
      <c r="J1467" t="s">
        <v>4246</v>
      </c>
      <c r="K1467">
        <v>11694</v>
      </c>
      <c r="L1467" t="s">
        <v>4275</v>
      </c>
      <c r="M1467" t="s">
        <v>4275</v>
      </c>
      <c r="O1467" t="s">
        <v>4282</v>
      </c>
      <c r="P1467" t="s">
        <v>5608</v>
      </c>
      <c r="Q1467" t="s">
        <v>5732</v>
      </c>
      <c r="R1467" t="s">
        <v>5753</v>
      </c>
      <c r="T1467" t="s">
        <v>4276</v>
      </c>
      <c r="V1467" t="s">
        <v>5767</v>
      </c>
      <c r="W1467" t="s">
        <v>5771</v>
      </c>
      <c r="X1467" t="s">
        <v>131</v>
      </c>
      <c r="Y1467">
        <v>1050</v>
      </c>
      <c r="Z1467" t="s">
        <v>5803</v>
      </c>
      <c r="AA1467" t="s">
        <v>5804</v>
      </c>
      <c r="AC1467" t="s">
        <v>7163</v>
      </c>
      <c r="AE1467" t="s">
        <v>9144</v>
      </c>
      <c r="AF1467">
        <v>2</v>
      </c>
      <c r="AG1467" t="s">
        <v>9269</v>
      </c>
      <c r="AH1467" t="s">
        <v>4280</v>
      </c>
      <c r="AI1467">
        <v>3</v>
      </c>
      <c r="AJ1467">
        <v>1</v>
      </c>
      <c r="AK1467">
        <v>0</v>
      </c>
      <c r="AL1467">
        <v>156.51</v>
      </c>
      <c r="AN1467" t="s">
        <v>9294</v>
      </c>
      <c r="AO1467" t="s">
        <v>1425</v>
      </c>
      <c r="AP1467">
        <v>19000</v>
      </c>
      <c r="AV1467">
        <v>1.7</v>
      </c>
      <c r="AW1467" t="s">
        <v>54</v>
      </c>
    </row>
    <row r="1468" spans="1:49">
      <c r="A1468" s="1">
        <f>HYPERLINK("https://cms.ls-nyc.org/matter/dynamic-profile/view/1896173","19-1896173")</f>
        <v>0</v>
      </c>
      <c r="B1468" t="s">
        <v>79</v>
      </c>
      <c r="C1468" t="s">
        <v>83</v>
      </c>
      <c r="D1468" t="s">
        <v>132</v>
      </c>
      <c r="F1468" t="s">
        <v>1300</v>
      </c>
      <c r="G1468" t="s">
        <v>2402</v>
      </c>
      <c r="H1468" t="s">
        <v>3735</v>
      </c>
      <c r="I1468" t="s">
        <v>3890</v>
      </c>
      <c r="J1468" t="s">
        <v>4225</v>
      </c>
      <c r="K1468">
        <v>11385</v>
      </c>
      <c r="L1468" t="s">
        <v>4275</v>
      </c>
      <c r="M1468" t="s">
        <v>4275</v>
      </c>
      <c r="O1468" t="s">
        <v>4281</v>
      </c>
      <c r="P1468" t="s">
        <v>5609</v>
      </c>
      <c r="Q1468" t="s">
        <v>5732</v>
      </c>
      <c r="R1468" t="s">
        <v>5752</v>
      </c>
      <c r="T1468" t="s">
        <v>4276</v>
      </c>
      <c r="V1468" t="s">
        <v>5767</v>
      </c>
      <c r="X1468" t="s">
        <v>132</v>
      </c>
      <c r="Y1468">
        <v>1350</v>
      </c>
      <c r="Z1468" t="s">
        <v>5803</v>
      </c>
      <c r="AA1468" t="s">
        <v>5805</v>
      </c>
      <c r="AC1468" t="s">
        <v>7164</v>
      </c>
      <c r="AE1468" t="s">
        <v>9145</v>
      </c>
      <c r="AF1468">
        <v>6</v>
      </c>
      <c r="AG1468" t="s">
        <v>9270</v>
      </c>
      <c r="AH1468" t="s">
        <v>4280</v>
      </c>
      <c r="AI1468">
        <v>10</v>
      </c>
      <c r="AJ1468">
        <v>4</v>
      </c>
      <c r="AK1468">
        <v>0</v>
      </c>
      <c r="AL1468">
        <v>156.58</v>
      </c>
      <c r="AO1468" t="s">
        <v>1425</v>
      </c>
      <c r="AP1468">
        <v>40320</v>
      </c>
      <c r="AV1468">
        <v>10.45</v>
      </c>
      <c r="AW1468" t="s">
        <v>54</v>
      </c>
    </row>
    <row r="1469" spans="1:49">
      <c r="A1469" s="1">
        <f>HYPERLINK("https://cms.ls-nyc.org/matter/dynamic-profile/view/1879960","18-1879960")</f>
        <v>0</v>
      </c>
      <c r="B1469" t="s">
        <v>79</v>
      </c>
      <c r="C1469" t="s">
        <v>83</v>
      </c>
      <c r="D1469" t="s">
        <v>92</v>
      </c>
      <c r="F1469" t="s">
        <v>1301</v>
      </c>
      <c r="G1469" t="s">
        <v>2403</v>
      </c>
      <c r="H1469" t="s">
        <v>3736</v>
      </c>
      <c r="I1469" t="s">
        <v>3864</v>
      </c>
      <c r="J1469" t="s">
        <v>4240</v>
      </c>
      <c r="K1469">
        <v>11373</v>
      </c>
      <c r="L1469" t="s">
        <v>4275</v>
      </c>
      <c r="M1469" t="s">
        <v>4277</v>
      </c>
      <c r="O1469" t="s">
        <v>4281</v>
      </c>
      <c r="P1469" t="s">
        <v>5610</v>
      </c>
      <c r="Q1469" t="s">
        <v>5732</v>
      </c>
      <c r="R1469" t="s">
        <v>5752</v>
      </c>
      <c r="T1469" t="s">
        <v>4276</v>
      </c>
      <c r="V1469" t="s">
        <v>5767</v>
      </c>
      <c r="W1469" t="s">
        <v>5772</v>
      </c>
      <c r="Y1469">
        <v>1675</v>
      </c>
      <c r="Z1469" t="s">
        <v>5803</v>
      </c>
      <c r="AA1469" t="s">
        <v>5804</v>
      </c>
      <c r="AC1469" t="s">
        <v>7165</v>
      </c>
      <c r="AE1469" t="s">
        <v>9146</v>
      </c>
      <c r="AF1469">
        <v>3</v>
      </c>
      <c r="AG1469" t="s">
        <v>9269</v>
      </c>
      <c r="AH1469" t="s">
        <v>4280</v>
      </c>
      <c r="AI1469">
        <v>7</v>
      </c>
      <c r="AJ1469">
        <v>1</v>
      </c>
      <c r="AK1469">
        <v>0</v>
      </c>
      <c r="AL1469">
        <v>160.63</v>
      </c>
      <c r="AO1469" t="s">
        <v>1425</v>
      </c>
      <c r="AP1469">
        <v>19500</v>
      </c>
      <c r="AV1469">
        <v>7.5</v>
      </c>
      <c r="AW1469" t="s">
        <v>73</v>
      </c>
    </row>
    <row r="1470" spans="1:49">
      <c r="A1470" s="1">
        <f>HYPERLINK("https://cms.ls-nyc.org/matter/dynamic-profile/view/1898046","19-1898046")</f>
        <v>0</v>
      </c>
      <c r="B1470" t="s">
        <v>79</v>
      </c>
      <c r="C1470" t="s">
        <v>83</v>
      </c>
      <c r="D1470" t="s">
        <v>123</v>
      </c>
      <c r="F1470" t="s">
        <v>1302</v>
      </c>
      <c r="G1470" t="s">
        <v>1828</v>
      </c>
      <c r="H1470" t="s">
        <v>3737</v>
      </c>
      <c r="I1470" t="s">
        <v>4196</v>
      </c>
      <c r="J1470" t="s">
        <v>4234</v>
      </c>
      <c r="K1470">
        <v>11106</v>
      </c>
      <c r="L1470" t="s">
        <v>4275</v>
      </c>
      <c r="M1470" t="s">
        <v>4275</v>
      </c>
      <c r="O1470" t="s">
        <v>4282</v>
      </c>
      <c r="P1470" t="s">
        <v>5611</v>
      </c>
      <c r="Q1470" t="s">
        <v>5731</v>
      </c>
      <c r="R1470" t="s">
        <v>5753</v>
      </c>
      <c r="T1470" t="s">
        <v>4275</v>
      </c>
      <c r="V1470" t="s">
        <v>5767</v>
      </c>
      <c r="X1470" t="s">
        <v>123</v>
      </c>
      <c r="Y1470">
        <v>786</v>
      </c>
      <c r="Z1470" t="s">
        <v>5803</v>
      </c>
      <c r="AA1470" t="s">
        <v>5804</v>
      </c>
      <c r="AC1470" t="s">
        <v>7166</v>
      </c>
      <c r="AE1470" t="s">
        <v>9147</v>
      </c>
      <c r="AF1470">
        <v>48</v>
      </c>
      <c r="AI1470">
        <v>12</v>
      </c>
      <c r="AJ1470">
        <v>1</v>
      </c>
      <c r="AK1470">
        <v>0</v>
      </c>
      <c r="AL1470">
        <v>163.62</v>
      </c>
      <c r="AO1470" t="s">
        <v>9298</v>
      </c>
      <c r="AP1470">
        <v>20436</v>
      </c>
      <c r="AV1470">
        <v>0.5</v>
      </c>
      <c r="AW1470" t="s">
        <v>9547</v>
      </c>
    </row>
    <row r="1471" spans="1:49">
      <c r="A1471" s="1">
        <f>HYPERLINK("https://cms.ls-nyc.org/matter/dynamic-profile/view/1883608","18-1883608")</f>
        <v>0</v>
      </c>
      <c r="B1471" t="s">
        <v>79</v>
      </c>
      <c r="C1471" t="s">
        <v>83</v>
      </c>
      <c r="D1471" t="s">
        <v>186</v>
      </c>
      <c r="F1471" t="s">
        <v>1303</v>
      </c>
      <c r="G1471" t="s">
        <v>1583</v>
      </c>
      <c r="H1471" t="s">
        <v>3738</v>
      </c>
      <c r="I1471" t="s">
        <v>3866</v>
      </c>
      <c r="J1471" t="s">
        <v>4222</v>
      </c>
      <c r="K1471">
        <v>11433</v>
      </c>
      <c r="L1471" t="s">
        <v>4275</v>
      </c>
      <c r="M1471" t="s">
        <v>4275</v>
      </c>
      <c r="O1471" t="s">
        <v>4281</v>
      </c>
      <c r="P1471" t="s">
        <v>5612</v>
      </c>
      <c r="Q1471" t="s">
        <v>5732</v>
      </c>
      <c r="R1471" t="s">
        <v>5752</v>
      </c>
      <c r="T1471" t="s">
        <v>4276</v>
      </c>
      <c r="V1471" t="s">
        <v>5767</v>
      </c>
      <c r="W1471" t="s">
        <v>5772</v>
      </c>
      <c r="Y1471">
        <v>650</v>
      </c>
      <c r="Z1471" t="s">
        <v>5803</v>
      </c>
      <c r="AA1471" t="s">
        <v>5804</v>
      </c>
      <c r="AC1471" t="s">
        <v>7167</v>
      </c>
      <c r="AE1471" t="s">
        <v>9148</v>
      </c>
      <c r="AF1471">
        <v>4</v>
      </c>
      <c r="AG1471" t="s">
        <v>9269</v>
      </c>
      <c r="AH1471" t="s">
        <v>4280</v>
      </c>
      <c r="AI1471">
        <v>8</v>
      </c>
      <c r="AJ1471">
        <v>1</v>
      </c>
      <c r="AK1471">
        <v>0</v>
      </c>
      <c r="AL1471">
        <v>181.22</v>
      </c>
      <c r="AO1471" t="s">
        <v>1425</v>
      </c>
      <c r="AP1471">
        <v>22000</v>
      </c>
      <c r="AV1471">
        <v>4.8</v>
      </c>
      <c r="AW1471" t="s">
        <v>54</v>
      </c>
    </row>
    <row r="1472" spans="1:49">
      <c r="A1472" s="1">
        <f>HYPERLINK("https://cms.ls-nyc.org/matter/dynamic-profile/view/1901103","19-1901103")</f>
        <v>0</v>
      </c>
      <c r="B1472" t="s">
        <v>79</v>
      </c>
      <c r="C1472" t="s">
        <v>83</v>
      </c>
      <c r="D1472" t="s">
        <v>90</v>
      </c>
      <c r="F1472" t="s">
        <v>624</v>
      </c>
      <c r="G1472" t="s">
        <v>1888</v>
      </c>
      <c r="H1472" t="s">
        <v>3739</v>
      </c>
      <c r="J1472" t="s">
        <v>4238</v>
      </c>
      <c r="K1472">
        <v>11413</v>
      </c>
      <c r="L1472" t="s">
        <v>4275</v>
      </c>
      <c r="M1472" t="s">
        <v>4277</v>
      </c>
      <c r="N1472" t="s">
        <v>4278</v>
      </c>
      <c r="O1472" t="s">
        <v>4282</v>
      </c>
      <c r="P1472" t="s">
        <v>5613</v>
      </c>
      <c r="Q1472" t="s">
        <v>5732</v>
      </c>
      <c r="R1472" t="s">
        <v>5752</v>
      </c>
      <c r="T1472" t="s">
        <v>4276</v>
      </c>
      <c r="V1472" t="s">
        <v>5767</v>
      </c>
      <c r="Y1472">
        <v>2000</v>
      </c>
      <c r="Z1472" t="s">
        <v>5803</v>
      </c>
      <c r="AA1472" t="s">
        <v>5804</v>
      </c>
      <c r="AC1472" t="s">
        <v>7168</v>
      </c>
      <c r="AE1472" t="s">
        <v>9149</v>
      </c>
      <c r="AF1472">
        <v>1</v>
      </c>
      <c r="AG1472" t="s">
        <v>9269</v>
      </c>
      <c r="AH1472" t="s">
        <v>9282</v>
      </c>
      <c r="AI1472">
        <v>10</v>
      </c>
      <c r="AJ1472">
        <v>2</v>
      </c>
      <c r="AK1472">
        <v>4</v>
      </c>
      <c r="AL1472">
        <v>183.17</v>
      </c>
      <c r="AO1472" t="s">
        <v>1425</v>
      </c>
      <c r="AP1472">
        <v>63360</v>
      </c>
      <c r="AV1472">
        <v>1</v>
      </c>
      <c r="AW1472" t="s">
        <v>9549</v>
      </c>
    </row>
    <row r="1473" spans="1:49">
      <c r="A1473" s="1">
        <f>HYPERLINK("https://cms.ls-nyc.org/matter/dynamic-profile/view/1886301","18-1886301")</f>
        <v>0</v>
      </c>
      <c r="B1473" t="s">
        <v>79</v>
      </c>
      <c r="C1473" t="s">
        <v>83</v>
      </c>
      <c r="D1473" t="s">
        <v>182</v>
      </c>
      <c r="F1473" t="s">
        <v>631</v>
      </c>
      <c r="G1473" t="s">
        <v>2404</v>
      </c>
      <c r="H1473" t="s">
        <v>3740</v>
      </c>
      <c r="I1473" t="s">
        <v>3952</v>
      </c>
      <c r="J1473" t="s">
        <v>4250</v>
      </c>
      <c r="K1473">
        <v>11412</v>
      </c>
      <c r="L1473" t="s">
        <v>4275</v>
      </c>
      <c r="M1473" t="s">
        <v>4275</v>
      </c>
      <c r="O1473" t="s">
        <v>4282</v>
      </c>
      <c r="P1473" t="s">
        <v>5614</v>
      </c>
      <c r="Q1473" t="s">
        <v>5732</v>
      </c>
      <c r="T1473" t="s">
        <v>4276</v>
      </c>
      <c r="V1473" t="s">
        <v>5767</v>
      </c>
      <c r="Y1473">
        <v>2500</v>
      </c>
      <c r="Z1473" t="s">
        <v>5803</v>
      </c>
      <c r="AA1473" t="s">
        <v>5804</v>
      </c>
      <c r="AC1473" t="s">
        <v>7169</v>
      </c>
      <c r="AE1473" t="s">
        <v>9150</v>
      </c>
      <c r="AF1473">
        <v>2</v>
      </c>
      <c r="AG1473" t="s">
        <v>9269</v>
      </c>
      <c r="AH1473" t="s">
        <v>4280</v>
      </c>
      <c r="AI1473">
        <v>1</v>
      </c>
      <c r="AJ1473">
        <v>2</v>
      </c>
      <c r="AK1473">
        <v>0</v>
      </c>
      <c r="AL1473">
        <v>189.55</v>
      </c>
      <c r="AO1473" t="s">
        <v>1425</v>
      </c>
      <c r="AP1473">
        <v>31200</v>
      </c>
      <c r="AV1473">
        <v>0.45</v>
      </c>
      <c r="AW1473" t="s">
        <v>74</v>
      </c>
    </row>
    <row r="1474" spans="1:49">
      <c r="A1474" s="1">
        <f>HYPERLINK("https://cms.ls-nyc.org/matter/dynamic-profile/view/1872472","18-1872472")</f>
        <v>0</v>
      </c>
      <c r="B1474" t="s">
        <v>79</v>
      </c>
      <c r="C1474" t="s">
        <v>83</v>
      </c>
      <c r="D1474" t="s">
        <v>195</v>
      </c>
      <c r="F1474" t="s">
        <v>1304</v>
      </c>
      <c r="G1474" t="s">
        <v>2405</v>
      </c>
      <c r="H1474" t="s">
        <v>3741</v>
      </c>
      <c r="I1474" t="s">
        <v>3949</v>
      </c>
      <c r="J1474" t="s">
        <v>4259</v>
      </c>
      <c r="K1474">
        <v>11693</v>
      </c>
      <c r="L1474" t="s">
        <v>4275</v>
      </c>
      <c r="M1474" t="s">
        <v>4275</v>
      </c>
      <c r="O1474" t="s">
        <v>4282</v>
      </c>
      <c r="P1474" t="s">
        <v>5615</v>
      </c>
      <c r="Q1474" t="s">
        <v>5740</v>
      </c>
      <c r="R1474" t="s">
        <v>5755</v>
      </c>
      <c r="T1474" t="s">
        <v>4276</v>
      </c>
      <c r="V1474" t="s">
        <v>5768</v>
      </c>
      <c r="W1474" t="s">
        <v>5772</v>
      </c>
      <c r="X1474" t="s">
        <v>5794</v>
      </c>
      <c r="Y1474">
        <v>341</v>
      </c>
      <c r="Z1474" t="s">
        <v>5803</v>
      </c>
      <c r="AA1474" t="s">
        <v>5804</v>
      </c>
      <c r="AC1474" t="s">
        <v>7170</v>
      </c>
      <c r="AE1474" t="s">
        <v>9151</v>
      </c>
      <c r="AF1474">
        <v>52</v>
      </c>
      <c r="AG1474" t="s">
        <v>9271</v>
      </c>
      <c r="AH1474" t="s">
        <v>4280</v>
      </c>
      <c r="AI1474">
        <v>30</v>
      </c>
      <c r="AJ1474">
        <v>2</v>
      </c>
      <c r="AK1474">
        <v>1</v>
      </c>
      <c r="AL1474">
        <v>193.17</v>
      </c>
      <c r="AO1474" t="s">
        <v>1425</v>
      </c>
      <c r="AP1474">
        <v>40140</v>
      </c>
      <c r="AV1474">
        <v>17.75</v>
      </c>
      <c r="AW1474" t="s">
        <v>73</v>
      </c>
    </row>
    <row r="1475" spans="1:49">
      <c r="A1475" s="1">
        <f>HYPERLINK("https://cms.ls-nyc.org/matter/dynamic-profile/view/1878278","18-1878278")</f>
        <v>0</v>
      </c>
      <c r="B1475" t="s">
        <v>79</v>
      </c>
      <c r="C1475" t="s">
        <v>83</v>
      </c>
      <c r="D1475" t="s">
        <v>137</v>
      </c>
      <c r="F1475" t="s">
        <v>1305</v>
      </c>
      <c r="G1475" t="s">
        <v>2406</v>
      </c>
      <c r="H1475" t="s">
        <v>3742</v>
      </c>
      <c r="J1475" t="s">
        <v>4222</v>
      </c>
      <c r="K1475">
        <v>11434</v>
      </c>
      <c r="L1475" t="s">
        <v>4275</v>
      </c>
      <c r="M1475" t="s">
        <v>4275</v>
      </c>
      <c r="O1475" t="s">
        <v>4281</v>
      </c>
      <c r="P1475" t="s">
        <v>5616</v>
      </c>
      <c r="Q1475" t="s">
        <v>5731</v>
      </c>
      <c r="R1475" t="s">
        <v>5751</v>
      </c>
      <c r="T1475" t="s">
        <v>4276</v>
      </c>
      <c r="V1475" t="s">
        <v>5767</v>
      </c>
      <c r="W1475" t="s">
        <v>5772</v>
      </c>
      <c r="X1475" t="s">
        <v>188</v>
      </c>
      <c r="Y1475">
        <v>932.76</v>
      </c>
      <c r="Z1475" t="s">
        <v>5803</v>
      </c>
      <c r="AA1475" t="s">
        <v>5805</v>
      </c>
      <c r="AC1475" t="s">
        <v>7171</v>
      </c>
      <c r="AE1475" t="s">
        <v>9152</v>
      </c>
      <c r="AF1475">
        <v>293</v>
      </c>
      <c r="AG1475" t="s">
        <v>9268</v>
      </c>
      <c r="AH1475" t="s">
        <v>4280</v>
      </c>
      <c r="AI1475">
        <v>44</v>
      </c>
      <c r="AJ1475">
        <v>2</v>
      </c>
      <c r="AK1475">
        <v>0</v>
      </c>
      <c r="AL1475">
        <v>200.49</v>
      </c>
      <c r="AO1475" t="s">
        <v>1425</v>
      </c>
      <c r="AP1475">
        <v>33000</v>
      </c>
      <c r="AV1475">
        <v>10.1</v>
      </c>
      <c r="AW1475" t="s">
        <v>73</v>
      </c>
    </row>
    <row r="1476" spans="1:49">
      <c r="A1476" s="1">
        <f>HYPERLINK("https://cms.ls-nyc.org/matter/dynamic-profile/view/1880157","18-1880157")</f>
        <v>0</v>
      </c>
      <c r="B1476" t="s">
        <v>79</v>
      </c>
      <c r="C1476" t="s">
        <v>83</v>
      </c>
      <c r="D1476" t="s">
        <v>276</v>
      </c>
      <c r="F1476" t="s">
        <v>1168</v>
      </c>
      <c r="G1476" t="s">
        <v>2407</v>
      </c>
      <c r="H1476" t="s">
        <v>3743</v>
      </c>
      <c r="I1476" t="s">
        <v>4201</v>
      </c>
      <c r="J1476" t="s">
        <v>4255</v>
      </c>
      <c r="K1476">
        <v>11372</v>
      </c>
      <c r="L1476" t="s">
        <v>4275</v>
      </c>
      <c r="M1476" t="s">
        <v>4275</v>
      </c>
      <c r="O1476" t="s">
        <v>4283</v>
      </c>
      <c r="P1476" t="s">
        <v>5617</v>
      </c>
      <c r="Q1476" t="s">
        <v>5731</v>
      </c>
      <c r="R1476" t="s">
        <v>5751</v>
      </c>
      <c r="T1476" t="s">
        <v>4276</v>
      </c>
      <c r="V1476" t="s">
        <v>5767</v>
      </c>
      <c r="W1476" t="s">
        <v>5772</v>
      </c>
      <c r="X1476" t="s">
        <v>306</v>
      </c>
      <c r="Y1476">
        <v>2350</v>
      </c>
      <c r="Z1476" t="s">
        <v>5803</v>
      </c>
      <c r="AA1476" t="s">
        <v>5807</v>
      </c>
      <c r="AC1476" t="s">
        <v>7172</v>
      </c>
      <c r="AE1476" t="s">
        <v>9153</v>
      </c>
      <c r="AF1476">
        <v>60</v>
      </c>
      <c r="AG1476" t="s">
        <v>9277</v>
      </c>
      <c r="AH1476" t="s">
        <v>4280</v>
      </c>
      <c r="AI1476">
        <v>11</v>
      </c>
      <c r="AJ1476">
        <v>2</v>
      </c>
      <c r="AK1476">
        <v>3</v>
      </c>
      <c r="AL1476">
        <v>203.94</v>
      </c>
      <c r="AM1476" t="s">
        <v>136</v>
      </c>
      <c r="AN1476" t="s">
        <v>9293</v>
      </c>
      <c r="AO1476" t="s">
        <v>1425</v>
      </c>
      <c r="AP1476">
        <v>60000</v>
      </c>
      <c r="AR1476" t="s">
        <v>9329</v>
      </c>
      <c r="AS1476" t="s">
        <v>9336</v>
      </c>
      <c r="AT1476" t="s">
        <v>9369</v>
      </c>
      <c r="AU1476" t="s">
        <v>9494</v>
      </c>
      <c r="AV1476">
        <v>19.9</v>
      </c>
      <c r="AW1476" t="s">
        <v>54</v>
      </c>
    </row>
    <row r="1477" spans="1:49">
      <c r="A1477" s="1">
        <f>HYPERLINK("https://cms.ls-nyc.org/matter/dynamic-profile/view/1872554","18-1872554")</f>
        <v>0</v>
      </c>
      <c r="B1477" t="s">
        <v>79</v>
      </c>
      <c r="C1477" t="s">
        <v>83</v>
      </c>
      <c r="D1477" t="s">
        <v>195</v>
      </c>
      <c r="F1477" t="s">
        <v>483</v>
      </c>
      <c r="G1477" t="s">
        <v>2408</v>
      </c>
      <c r="H1477" t="s">
        <v>3743</v>
      </c>
      <c r="I1477" t="s">
        <v>4202</v>
      </c>
      <c r="J1477" t="s">
        <v>4255</v>
      </c>
      <c r="K1477">
        <v>11372</v>
      </c>
      <c r="L1477" t="s">
        <v>4275</v>
      </c>
      <c r="M1477" t="s">
        <v>4275</v>
      </c>
      <c r="O1477" t="s">
        <v>4283</v>
      </c>
      <c r="P1477" t="s">
        <v>4698</v>
      </c>
      <c r="Q1477" t="s">
        <v>5737</v>
      </c>
      <c r="R1477" t="s">
        <v>5756</v>
      </c>
      <c r="T1477" t="s">
        <v>4275</v>
      </c>
      <c r="V1477" t="s">
        <v>5767</v>
      </c>
      <c r="W1477" t="s">
        <v>5772</v>
      </c>
      <c r="Y1477">
        <v>2950</v>
      </c>
      <c r="Z1477" t="s">
        <v>5803</v>
      </c>
      <c r="AA1477" t="s">
        <v>5804</v>
      </c>
      <c r="AC1477" t="s">
        <v>7173</v>
      </c>
      <c r="AE1477" t="s">
        <v>9154</v>
      </c>
      <c r="AF1477">
        <v>60</v>
      </c>
      <c r="AG1477" t="s">
        <v>9270</v>
      </c>
      <c r="AH1477" t="s">
        <v>4280</v>
      </c>
      <c r="AI1477">
        <v>4</v>
      </c>
      <c r="AJ1477">
        <v>4</v>
      </c>
      <c r="AK1477">
        <v>0</v>
      </c>
      <c r="AL1477">
        <v>786.42</v>
      </c>
      <c r="AO1477" t="s">
        <v>1425</v>
      </c>
      <c r="AP1477">
        <v>197392</v>
      </c>
      <c r="AV1477">
        <v>0</v>
      </c>
      <c r="AW1477" t="s">
        <v>54</v>
      </c>
    </row>
    <row r="1478" spans="1:49">
      <c r="A1478" s="1">
        <f>HYPERLINK("https://cms.ls-nyc.org/matter/dynamic-profile/view/1885396","18-1885396")</f>
        <v>0</v>
      </c>
      <c r="B1478" t="s">
        <v>80</v>
      </c>
      <c r="C1478" t="s">
        <v>82</v>
      </c>
      <c r="D1478" t="s">
        <v>185</v>
      </c>
      <c r="E1478" t="s">
        <v>95</v>
      </c>
      <c r="F1478" t="s">
        <v>678</v>
      </c>
      <c r="G1478" t="s">
        <v>2409</v>
      </c>
      <c r="H1478" t="s">
        <v>3744</v>
      </c>
      <c r="I1478">
        <v>12</v>
      </c>
      <c r="J1478" t="s">
        <v>4259</v>
      </c>
      <c r="K1478">
        <v>11693</v>
      </c>
      <c r="L1478" t="s">
        <v>4275</v>
      </c>
      <c r="M1478" t="s">
        <v>4275</v>
      </c>
      <c r="N1478" t="s">
        <v>4278</v>
      </c>
      <c r="O1478" t="s">
        <v>4282</v>
      </c>
      <c r="P1478" t="s">
        <v>5618</v>
      </c>
      <c r="Q1478" t="s">
        <v>5732</v>
      </c>
      <c r="R1478" t="s">
        <v>5751</v>
      </c>
      <c r="S1478" t="s">
        <v>5760</v>
      </c>
      <c r="T1478" t="s">
        <v>4276</v>
      </c>
      <c r="V1478" t="s">
        <v>5767</v>
      </c>
      <c r="W1478" t="s">
        <v>5774</v>
      </c>
      <c r="X1478" t="s">
        <v>185</v>
      </c>
      <c r="Y1478">
        <v>1268</v>
      </c>
      <c r="Z1478" t="s">
        <v>5803</v>
      </c>
      <c r="AA1478" t="s">
        <v>5804</v>
      </c>
      <c r="AB1478" t="s">
        <v>5822</v>
      </c>
      <c r="AC1478" t="s">
        <v>7174</v>
      </c>
      <c r="AD1478" t="s">
        <v>7810</v>
      </c>
      <c r="AE1478" t="s">
        <v>9155</v>
      </c>
      <c r="AF1478">
        <v>2</v>
      </c>
      <c r="AG1478" t="s">
        <v>9269</v>
      </c>
      <c r="AH1478" t="s">
        <v>9283</v>
      </c>
      <c r="AI1478">
        <v>2</v>
      </c>
      <c r="AJ1478">
        <v>1</v>
      </c>
      <c r="AK1478">
        <v>2</v>
      </c>
      <c r="AL1478">
        <v>0</v>
      </c>
      <c r="AO1478" t="s">
        <v>1425</v>
      </c>
      <c r="AP1478">
        <v>0</v>
      </c>
      <c r="AR1478" t="s">
        <v>9329</v>
      </c>
      <c r="AS1478" t="s">
        <v>5806</v>
      </c>
      <c r="AT1478" t="s">
        <v>9370</v>
      </c>
      <c r="AU1478" t="s">
        <v>9420</v>
      </c>
      <c r="AV1478">
        <v>44.7</v>
      </c>
      <c r="AW1478" t="s">
        <v>73</v>
      </c>
    </row>
    <row r="1479" spans="1:49">
      <c r="A1479" s="1">
        <f>HYPERLINK("https://cms.ls-nyc.org/matter/dynamic-profile/view/1885585","18-1885585")</f>
        <v>0</v>
      </c>
      <c r="B1479" t="s">
        <v>80</v>
      </c>
      <c r="C1479" t="s">
        <v>83</v>
      </c>
      <c r="D1479" t="s">
        <v>187</v>
      </c>
      <c r="F1479" t="s">
        <v>967</v>
      </c>
      <c r="G1479" t="s">
        <v>2113</v>
      </c>
      <c r="H1479" t="s">
        <v>2874</v>
      </c>
      <c r="J1479" t="s">
        <v>4254</v>
      </c>
      <c r="K1479">
        <v>11692</v>
      </c>
      <c r="L1479" t="s">
        <v>4275</v>
      </c>
      <c r="M1479" t="s">
        <v>4275</v>
      </c>
      <c r="O1479" t="s">
        <v>4282</v>
      </c>
      <c r="P1479" t="s">
        <v>5619</v>
      </c>
      <c r="Q1479" t="s">
        <v>5732</v>
      </c>
      <c r="R1479" t="s">
        <v>5753</v>
      </c>
      <c r="T1479" t="s">
        <v>4276</v>
      </c>
      <c r="V1479" t="s">
        <v>5767</v>
      </c>
      <c r="W1479" t="s">
        <v>5772</v>
      </c>
      <c r="X1479" t="s">
        <v>187</v>
      </c>
      <c r="Y1479">
        <v>1981</v>
      </c>
      <c r="Z1479" t="s">
        <v>5803</v>
      </c>
      <c r="AA1479" t="s">
        <v>5804</v>
      </c>
      <c r="AC1479" t="s">
        <v>7175</v>
      </c>
      <c r="AD1479" t="s">
        <v>7811</v>
      </c>
      <c r="AE1479" t="s">
        <v>9156</v>
      </c>
      <c r="AF1479">
        <v>198</v>
      </c>
      <c r="AG1479" t="s">
        <v>9272</v>
      </c>
      <c r="AH1479" t="s">
        <v>9282</v>
      </c>
      <c r="AI1479">
        <v>13</v>
      </c>
      <c r="AJ1479">
        <v>2</v>
      </c>
      <c r="AK1479">
        <v>0</v>
      </c>
      <c r="AL1479">
        <v>0</v>
      </c>
      <c r="AO1479" t="s">
        <v>1425</v>
      </c>
      <c r="AP1479">
        <v>0</v>
      </c>
      <c r="AV1479">
        <v>1</v>
      </c>
      <c r="AW1479" t="s">
        <v>73</v>
      </c>
    </row>
    <row r="1480" spans="1:49">
      <c r="A1480" s="1">
        <f>HYPERLINK("https://cms.ls-nyc.org/matter/dynamic-profile/view/1900415","19-1900415")</f>
        <v>0</v>
      </c>
      <c r="B1480" t="s">
        <v>80</v>
      </c>
      <c r="C1480" t="s">
        <v>83</v>
      </c>
      <c r="D1480" t="s">
        <v>232</v>
      </c>
      <c r="F1480" t="s">
        <v>662</v>
      </c>
      <c r="G1480" t="s">
        <v>2410</v>
      </c>
      <c r="H1480" t="s">
        <v>2950</v>
      </c>
      <c r="I1480">
        <v>206</v>
      </c>
      <c r="J1480" t="s">
        <v>4254</v>
      </c>
      <c r="K1480">
        <v>11692</v>
      </c>
      <c r="L1480" t="s">
        <v>4275</v>
      </c>
      <c r="M1480" t="s">
        <v>4277</v>
      </c>
      <c r="N1480" t="s">
        <v>4278</v>
      </c>
      <c r="O1480" t="s">
        <v>4283</v>
      </c>
      <c r="P1480" t="s">
        <v>5620</v>
      </c>
      <c r="Q1480" t="s">
        <v>5731</v>
      </c>
      <c r="R1480" t="s">
        <v>5753</v>
      </c>
      <c r="T1480" t="s">
        <v>4276</v>
      </c>
      <c r="V1480" t="s">
        <v>5767</v>
      </c>
      <c r="W1480" t="s">
        <v>5772</v>
      </c>
      <c r="X1480" t="s">
        <v>232</v>
      </c>
      <c r="Y1480">
        <v>1673</v>
      </c>
      <c r="Z1480" t="s">
        <v>5803</v>
      </c>
      <c r="AA1480" t="s">
        <v>5808</v>
      </c>
      <c r="AC1480" t="s">
        <v>7166</v>
      </c>
      <c r="AE1480" t="s">
        <v>9157</v>
      </c>
      <c r="AF1480">
        <v>0</v>
      </c>
      <c r="AG1480" t="s">
        <v>9269</v>
      </c>
      <c r="AH1480" t="s">
        <v>9282</v>
      </c>
      <c r="AI1480">
        <v>6</v>
      </c>
      <c r="AJ1480">
        <v>1</v>
      </c>
      <c r="AK1480">
        <v>0</v>
      </c>
      <c r="AL1480">
        <v>0</v>
      </c>
      <c r="AO1480" t="s">
        <v>1425</v>
      </c>
      <c r="AP1480">
        <v>0</v>
      </c>
      <c r="AV1480">
        <v>2</v>
      </c>
      <c r="AW1480" t="s">
        <v>54</v>
      </c>
    </row>
    <row r="1481" spans="1:49">
      <c r="A1481" s="1">
        <f>HYPERLINK("https://cms.ls-nyc.org/matter/dynamic-profile/view/1892704","19-1892704")</f>
        <v>0</v>
      </c>
      <c r="B1481" t="s">
        <v>80</v>
      </c>
      <c r="C1481" t="s">
        <v>82</v>
      </c>
      <c r="D1481" t="s">
        <v>134</v>
      </c>
      <c r="E1481" t="s">
        <v>217</v>
      </c>
      <c r="F1481" t="s">
        <v>1306</v>
      </c>
      <c r="G1481" t="s">
        <v>2411</v>
      </c>
      <c r="H1481" t="s">
        <v>3745</v>
      </c>
      <c r="I1481" t="s">
        <v>3929</v>
      </c>
      <c r="J1481" t="s">
        <v>4222</v>
      </c>
      <c r="K1481">
        <v>11434</v>
      </c>
      <c r="L1481" t="s">
        <v>4275</v>
      </c>
      <c r="M1481" t="s">
        <v>4275</v>
      </c>
      <c r="N1481" t="s">
        <v>4278</v>
      </c>
      <c r="O1481" t="s">
        <v>4281</v>
      </c>
      <c r="P1481" t="s">
        <v>5621</v>
      </c>
      <c r="Q1481" t="s">
        <v>5732</v>
      </c>
      <c r="R1481" t="s">
        <v>5751</v>
      </c>
      <c r="S1481" t="s">
        <v>5758</v>
      </c>
      <c r="T1481" t="s">
        <v>4276</v>
      </c>
      <c r="V1481" t="s">
        <v>5767</v>
      </c>
      <c r="W1481" t="s">
        <v>5772</v>
      </c>
      <c r="X1481" t="s">
        <v>134</v>
      </c>
      <c r="Y1481">
        <v>0</v>
      </c>
      <c r="Z1481" t="s">
        <v>5803</v>
      </c>
      <c r="AA1481" t="s">
        <v>5804</v>
      </c>
      <c r="AB1481" t="s">
        <v>5820</v>
      </c>
      <c r="AC1481" t="s">
        <v>7176</v>
      </c>
      <c r="AE1481" t="s">
        <v>9158</v>
      </c>
      <c r="AF1481">
        <v>2</v>
      </c>
      <c r="AG1481" t="s">
        <v>9270</v>
      </c>
      <c r="AH1481" t="s">
        <v>4280</v>
      </c>
      <c r="AI1481">
        <v>2</v>
      </c>
      <c r="AJ1481">
        <v>1</v>
      </c>
      <c r="AK1481">
        <v>0</v>
      </c>
      <c r="AL1481">
        <v>0</v>
      </c>
      <c r="AO1481" t="s">
        <v>1425</v>
      </c>
      <c r="AP1481">
        <v>0</v>
      </c>
      <c r="AR1481" t="s">
        <v>9329</v>
      </c>
      <c r="AS1481" t="s">
        <v>9336</v>
      </c>
      <c r="AT1481" t="s">
        <v>9369</v>
      </c>
      <c r="AU1481" t="s">
        <v>9503</v>
      </c>
      <c r="AV1481">
        <v>24</v>
      </c>
      <c r="AW1481" t="s">
        <v>54</v>
      </c>
    </row>
    <row r="1482" spans="1:49">
      <c r="A1482" s="1">
        <f>HYPERLINK("https://cms.ls-nyc.org/matter/dynamic-profile/view/1882656","18-1882656")</f>
        <v>0</v>
      </c>
      <c r="B1482" t="s">
        <v>80</v>
      </c>
      <c r="C1482" t="s">
        <v>82</v>
      </c>
      <c r="D1482" t="s">
        <v>111</v>
      </c>
      <c r="E1482" t="s">
        <v>139</v>
      </c>
      <c r="F1482" t="s">
        <v>1307</v>
      </c>
      <c r="G1482" t="s">
        <v>2412</v>
      </c>
      <c r="H1482" t="s">
        <v>3746</v>
      </c>
      <c r="I1482" t="s">
        <v>3864</v>
      </c>
      <c r="J1482" t="s">
        <v>4231</v>
      </c>
      <c r="K1482">
        <v>11419</v>
      </c>
      <c r="L1482" t="s">
        <v>4275</v>
      </c>
      <c r="M1482" t="s">
        <v>4275</v>
      </c>
      <c r="O1482" t="s">
        <v>4282</v>
      </c>
      <c r="P1482" t="s">
        <v>5622</v>
      </c>
      <c r="Q1482" t="s">
        <v>5732</v>
      </c>
      <c r="R1482" t="s">
        <v>5753</v>
      </c>
      <c r="S1482" t="s">
        <v>5759</v>
      </c>
      <c r="T1482" t="s">
        <v>4276</v>
      </c>
      <c r="V1482" t="s">
        <v>5767</v>
      </c>
      <c r="W1482" t="s">
        <v>5772</v>
      </c>
      <c r="X1482" t="s">
        <v>111</v>
      </c>
      <c r="Y1482">
        <v>1150</v>
      </c>
      <c r="Z1482" t="s">
        <v>5803</v>
      </c>
      <c r="AA1482" t="s">
        <v>5804</v>
      </c>
      <c r="AB1482" t="s">
        <v>5821</v>
      </c>
      <c r="AC1482" t="s">
        <v>7177</v>
      </c>
      <c r="AD1482" t="s">
        <v>7812</v>
      </c>
      <c r="AE1482" t="s">
        <v>9159</v>
      </c>
      <c r="AF1482">
        <v>2</v>
      </c>
      <c r="AG1482" t="s">
        <v>9269</v>
      </c>
      <c r="AH1482" t="s">
        <v>9283</v>
      </c>
      <c r="AI1482">
        <v>2</v>
      </c>
      <c r="AJ1482">
        <v>1</v>
      </c>
      <c r="AK1482">
        <v>1</v>
      </c>
      <c r="AL1482">
        <v>0</v>
      </c>
      <c r="AO1482" t="s">
        <v>1425</v>
      </c>
      <c r="AP1482">
        <v>0</v>
      </c>
      <c r="AV1482">
        <v>0.3</v>
      </c>
      <c r="AW1482" t="s">
        <v>73</v>
      </c>
    </row>
    <row r="1483" spans="1:49">
      <c r="A1483" s="1">
        <f>HYPERLINK("https://cms.ls-nyc.org/matter/dynamic-profile/view/1897387","19-1897387")</f>
        <v>0</v>
      </c>
      <c r="B1483" t="s">
        <v>80</v>
      </c>
      <c r="C1483" t="s">
        <v>83</v>
      </c>
      <c r="D1483" t="s">
        <v>106</v>
      </c>
      <c r="F1483" t="s">
        <v>757</v>
      </c>
      <c r="G1483" t="s">
        <v>2413</v>
      </c>
      <c r="H1483" t="s">
        <v>3747</v>
      </c>
      <c r="J1483" t="s">
        <v>4245</v>
      </c>
      <c r="K1483">
        <v>11418</v>
      </c>
      <c r="L1483" t="s">
        <v>4275</v>
      </c>
      <c r="M1483" t="s">
        <v>4275</v>
      </c>
      <c r="O1483" t="s">
        <v>4282</v>
      </c>
      <c r="P1483" t="s">
        <v>5623</v>
      </c>
      <c r="Q1483" t="s">
        <v>5731</v>
      </c>
      <c r="R1483" t="s">
        <v>5753</v>
      </c>
      <c r="T1483" t="s">
        <v>4276</v>
      </c>
      <c r="V1483" t="s">
        <v>5767</v>
      </c>
      <c r="X1483" t="s">
        <v>106</v>
      </c>
      <c r="Y1483">
        <v>750</v>
      </c>
      <c r="Z1483" t="s">
        <v>5803</v>
      </c>
      <c r="AC1483" t="s">
        <v>7178</v>
      </c>
      <c r="AE1483" t="s">
        <v>9160</v>
      </c>
      <c r="AF1483">
        <v>0</v>
      </c>
      <c r="AI1483">
        <v>3</v>
      </c>
      <c r="AJ1483">
        <v>1</v>
      </c>
      <c r="AK1483">
        <v>0</v>
      </c>
      <c r="AL1483">
        <v>0</v>
      </c>
      <c r="AO1483" t="s">
        <v>1425</v>
      </c>
      <c r="AP1483">
        <v>0</v>
      </c>
      <c r="AV1483">
        <v>3.6</v>
      </c>
      <c r="AW1483" t="s">
        <v>9547</v>
      </c>
    </row>
    <row r="1484" spans="1:49">
      <c r="A1484" s="1">
        <f>HYPERLINK("https://cms.ls-nyc.org/matter/dynamic-profile/view/1892314","19-1892314")</f>
        <v>0</v>
      </c>
      <c r="B1484" t="s">
        <v>80</v>
      </c>
      <c r="C1484" t="s">
        <v>83</v>
      </c>
      <c r="D1484" t="s">
        <v>160</v>
      </c>
      <c r="F1484" t="s">
        <v>1308</v>
      </c>
      <c r="G1484" t="s">
        <v>2414</v>
      </c>
      <c r="H1484" t="s">
        <v>3748</v>
      </c>
      <c r="J1484" t="s">
        <v>4236</v>
      </c>
      <c r="K1484">
        <v>11417</v>
      </c>
      <c r="L1484" t="s">
        <v>4275</v>
      </c>
      <c r="M1484" t="s">
        <v>4275</v>
      </c>
      <c r="O1484" t="s">
        <v>4282</v>
      </c>
      <c r="P1484" t="s">
        <v>5624</v>
      </c>
      <c r="Q1484" t="s">
        <v>5732</v>
      </c>
      <c r="R1484" t="s">
        <v>5753</v>
      </c>
      <c r="T1484" t="s">
        <v>4276</v>
      </c>
      <c r="V1484" t="s">
        <v>5767</v>
      </c>
      <c r="X1484" t="s">
        <v>160</v>
      </c>
      <c r="Y1484">
        <v>0</v>
      </c>
      <c r="Z1484" t="s">
        <v>5803</v>
      </c>
      <c r="AA1484" t="s">
        <v>5804</v>
      </c>
      <c r="AC1484" t="s">
        <v>7179</v>
      </c>
      <c r="AE1484" t="s">
        <v>9161</v>
      </c>
      <c r="AF1484">
        <v>0</v>
      </c>
      <c r="AG1484" t="s">
        <v>9270</v>
      </c>
      <c r="AI1484">
        <v>53</v>
      </c>
      <c r="AJ1484">
        <v>1</v>
      </c>
      <c r="AK1484">
        <v>0</v>
      </c>
      <c r="AL1484">
        <v>0</v>
      </c>
      <c r="AO1484" t="s">
        <v>1425</v>
      </c>
      <c r="AP1484">
        <v>0</v>
      </c>
      <c r="AV1484">
        <v>1.3</v>
      </c>
      <c r="AW1484" t="s">
        <v>54</v>
      </c>
    </row>
    <row r="1485" spans="1:49">
      <c r="A1485" s="1">
        <f>HYPERLINK("https://cms.ls-nyc.org/matter/dynamic-profile/view/1880642","18-1880642")</f>
        <v>0</v>
      </c>
      <c r="B1485" t="s">
        <v>80</v>
      </c>
      <c r="C1485" t="s">
        <v>82</v>
      </c>
      <c r="D1485" t="s">
        <v>227</v>
      </c>
      <c r="E1485" t="s">
        <v>91</v>
      </c>
      <c r="F1485" t="s">
        <v>1309</v>
      </c>
      <c r="G1485" t="s">
        <v>1683</v>
      </c>
      <c r="H1485" t="s">
        <v>3749</v>
      </c>
      <c r="J1485" t="s">
        <v>4238</v>
      </c>
      <c r="K1485">
        <v>11413</v>
      </c>
      <c r="L1485" t="s">
        <v>4275</v>
      </c>
      <c r="M1485" t="s">
        <v>4275</v>
      </c>
      <c r="N1485" t="s">
        <v>4278</v>
      </c>
      <c r="O1485" t="s">
        <v>4282</v>
      </c>
      <c r="P1485" t="s">
        <v>5625</v>
      </c>
      <c r="Q1485" t="s">
        <v>5731</v>
      </c>
      <c r="R1485" t="s">
        <v>5751</v>
      </c>
      <c r="S1485" t="s">
        <v>5758</v>
      </c>
      <c r="T1485" t="s">
        <v>4276</v>
      </c>
      <c r="V1485" t="s">
        <v>5767</v>
      </c>
      <c r="W1485" t="s">
        <v>5773</v>
      </c>
      <c r="X1485" t="s">
        <v>84</v>
      </c>
      <c r="Y1485">
        <v>2300</v>
      </c>
      <c r="Z1485" t="s">
        <v>5803</v>
      </c>
      <c r="AA1485" t="s">
        <v>5804</v>
      </c>
      <c r="AB1485" t="s">
        <v>5822</v>
      </c>
      <c r="AC1485" t="s">
        <v>7180</v>
      </c>
      <c r="AD1485" t="s">
        <v>7813</v>
      </c>
      <c r="AE1485" t="s">
        <v>9162</v>
      </c>
      <c r="AF1485">
        <v>2</v>
      </c>
      <c r="AG1485" t="s">
        <v>9269</v>
      </c>
      <c r="AH1485" t="s">
        <v>4280</v>
      </c>
      <c r="AI1485">
        <v>1</v>
      </c>
      <c r="AJ1485">
        <v>2</v>
      </c>
      <c r="AK1485">
        <v>3</v>
      </c>
      <c r="AL1485">
        <v>0</v>
      </c>
      <c r="AO1485" t="s">
        <v>1425</v>
      </c>
      <c r="AP1485">
        <v>0</v>
      </c>
      <c r="AR1485" t="s">
        <v>9329</v>
      </c>
      <c r="AS1485" t="s">
        <v>5806</v>
      </c>
      <c r="AT1485" t="s">
        <v>9370</v>
      </c>
      <c r="AU1485" t="s">
        <v>9417</v>
      </c>
      <c r="AV1485">
        <v>35.5</v>
      </c>
      <c r="AW1485" t="s">
        <v>73</v>
      </c>
    </row>
    <row r="1486" spans="1:49">
      <c r="A1486" s="1">
        <f>HYPERLINK("https://cms.ls-nyc.org/matter/dynamic-profile/view/1885984","18-1885984")</f>
        <v>0</v>
      </c>
      <c r="B1486" t="s">
        <v>80</v>
      </c>
      <c r="C1486" t="s">
        <v>82</v>
      </c>
      <c r="D1486" t="s">
        <v>191</v>
      </c>
      <c r="E1486" t="s">
        <v>232</v>
      </c>
      <c r="F1486" t="s">
        <v>1310</v>
      </c>
      <c r="G1486" t="s">
        <v>2415</v>
      </c>
      <c r="H1486" t="s">
        <v>3750</v>
      </c>
      <c r="I1486" t="s">
        <v>4203</v>
      </c>
      <c r="J1486" t="s">
        <v>4240</v>
      </c>
      <c r="K1486">
        <v>11373</v>
      </c>
      <c r="L1486" t="s">
        <v>4275</v>
      </c>
      <c r="M1486" t="s">
        <v>4275</v>
      </c>
      <c r="N1486" t="s">
        <v>4278</v>
      </c>
      <c r="O1486" t="s">
        <v>4281</v>
      </c>
      <c r="P1486" t="s">
        <v>5626</v>
      </c>
      <c r="Q1486" t="s">
        <v>5731</v>
      </c>
      <c r="R1486" t="s">
        <v>5751</v>
      </c>
      <c r="S1486" t="s">
        <v>5758</v>
      </c>
      <c r="T1486" t="s">
        <v>4276</v>
      </c>
      <c r="V1486" t="s">
        <v>5767</v>
      </c>
      <c r="W1486" t="s">
        <v>5772</v>
      </c>
      <c r="X1486" t="s">
        <v>191</v>
      </c>
      <c r="Y1486">
        <v>1468</v>
      </c>
      <c r="Z1486" t="s">
        <v>5803</v>
      </c>
      <c r="AA1486" t="s">
        <v>5804</v>
      </c>
      <c r="AB1486" t="s">
        <v>5822</v>
      </c>
      <c r="AC1486" t="s">
        <v>6649</v>
      </c>
      <c r="AE1486" t="s">
        <v>9163</v>
      </c>
      <c r="AF1486">
        <v>42</v>
      </c>
      <c r="AG1486" t="s">
        <v>9272</v>
      </c>
      <c r="AH1486" t="s">
        <v>4280</v>
      </c>
      <c r="AI1486">
        <v>2</v>
      </c>
      <c r="AJ1486">
        <v>1</v>
      </c>
      <c r="AK1486">
        <v>1</v>
      </c>
      <c r="AL1486">
        <v>0</v>
      </c>
      <c r="AO1486" t="s">
        <v>1425</v>
      </c>
      <c r="AP1486">
        <v>0</v>
      </c>
      <c r="AR1486" t="s">
        <v>9327</v>
      </c>
      <c r="AS1486" t="s">
        <v>5806</v>
      </c>
      <c r="AT1486" t="s">
        <v>9370</v>
      </c>
      <c r="AU1486" t="s">
        <v>9412</v>
      </c>
      <c r="AV1486">
        <v>6.45</v>
      </c>
      <c r="AW1486" t="s">
        <v>74</v>
      </c>
    </row>
    <row r="1487" spans="1:49">
      <c r="A1487" s="1">
        <f>HYPERLINK("https://cms.ls-nyc.org/matter/dynamic-profile/view/1895752","19-1895752")</f>
        <v>0</v>
      </c>
      <c r="B1487" t="s">
        <v>80</v>
      </c>
      <c r="C1487" t="s">
        <v>83</v>
      </c>
      <c r="D1487" t="s">
        <v>94</v>
      </c>
      <c r="F1487" t="s">
        <v>843</v>
      </c>
      <c r="G1487" t="s">
        <v>469</v>
      </c>
      <c r="H1487" t="s">
        <v>3751</v>
      </c>
      <c r="I1487" t="s">
        <v>3866</v>
      </c>
      <c r="J1487" t="s">
        <v>4241</v>
      </c>
      <c r="K1487">
        <v>11368</v>
      </c>
      <c r="L1487" t="s">
        <v>4275</v>
      </c>
      <c r="M1487" t="s">
        <v>4275</v>
      </c>
      <c r="O1487" t="s">
        <v>4282</v>
      </c>
      <c r="P1487" t="s">
        <v>5627</v>
      </c>
      <c r="Q1487" t="s">
        <v>5732</v>
      </c>
      <c r="R1487" t="s">
        <v>5752</v>
      </c>
      <c r="T1487" t="s">
        <v>4276</v>
      </c>
      <c r="V1487" t="s">
        <v>5767</v>
      </c>
      <c r="X1487" t="s">
        <v>94</v>
      </c>
      <c r="Y1487">
        <v>0</v>
      </c>
      <c r="Z1487" t="s">
        <v>5803</v>
      </c>
      <c r="AA1487" t="s">
        <v>5804</v>
      </c>
      <c r="AC1487" t="s">
        <v>7181</v>
      </c>
      <c r="AE1487" t="s">
        <v>9164</v>
      </c>
      <c r="AF1487">
        <v>3</v>
      </c>
      <c r="AG1487" t="s">
        <v>9270</v>
      </c>
      <c r="AH1487" t="s">
        <v>4280</v>
      </c>
      <c r="AI1487">
        <v>-1</v>
      </c>
      <c r="AJ1487">
        <v>1</v>
      </c>
      <c r="AK1487">
        <v>0</v>
      </c>
      <c r="AL1487">
        <v>0</v>
      </c>
      <c r="AO1487" t="s">
        <v>1425</v>
      </c>
      <c r="AP1487">
        <v>0</v>
      </c>
      <c r="AV1487">
        <v>1.3</v>
      </c>
      <c r="AW1487" t="s">
        <v>54</v>
      </c>
    </row>
    <row r="1488" spans="1:49">
      <c r="A1488" s="1">
        <f>HYPERLINK("https://cms.ls-nyc.org/matter/dynamic-profile/view/1895982","19-1895982")</f>
        <v>0</v>
      </c>
      <c r="B1488" t="s">
        <v>80</v>
      </c>
      <c r="C1488" t="s">
        <v>83</v>
      </c>
      <c r="D1488" t="s">
        <v>105</v>
      </c>
      <c r="F1488" t="s">
        <v>323</v>
      </c>
      <c r="G1488" t="s">
        <v>1382</v>
      </c>
      <c r="H1488" t="s">
        <v>2499</v>
      </c>
      <c r="I1488">
        <v>41</v>
      </c>
      <c r="J1488" t="s">
        <v>4229</v>
      </c>
      <c r="K1488">
        <v>11358</v>
      </c>
      <c r="L1488" t="s">
        <v>4275</v>
      </c>
      <c r="M1488" t="s">
        <v>4275</v>
      </c>
      <c r="O1488" t="s">
        <v>4283</v>
      </c>
      <c r="P1488" t="s">
        <v>5628</v>
      </c>
      <c r="Q1488" t="s">
        <v>5732</v>
      </c>
      <c r="R1488" t="s">
        <v>5751</v>
      </c>
      <c r="T1488" t="s">
        <v>4275</v>
      </c>
      <c r="V1488" t="s">
        <v>5767</v>
      </c>
      <c r="W1488" t="s">
        <v>5772</v>
      </c>
      <c r="X1488" t="s">
        <v>105</v>
      </c>
      <c r="Y1488">
        <v>1150</v>
      </c>
      <c r="Z1488" t="s">
        <v>5803</v>
      </c>
      <c r="AA1488" t="s">
        <v>5804</v>
      </c>
      <c r="AC1488" t="s">
        <v>5838</v>
      </c>
      <c r="AE1488" t="s">
        <v>7856</v>
      </c>
      <c r="AF1488">
        <v>45</v>
      </c>
      <c r="AG1488" t="s">
        <v>9272</v>
      </c>
      <c r="AI1488">
        <v>6</v>
      </c>
      <c r="AJ1488">
        <v>1</v>
      </c>
      <c r="AK1488">
        <v>0</v>
      </c>
      <c r="AL1488">
        <v>0</v>
      </c>
      <c r="AO1488" t="s">
        <v>1425</v>
      </c>
      <c r="AP1488">
        <v>0</v>
      </c>
      <c r="AV1488">
        <v>20.3</v>
      </c>
      <c r="AW1488" t="s">
        <v>9547</v>
      </c>
    </row>
    <row r="1489" spans="1:49">
      <c r="A1489" s="1">
        <f>HYPERLINK("https://cms.ls-nyc.org/matter/dynamic-profile/view/1886258","18-1886258")</f>
        <v>0</v>
      </c>
      <c r="B1489" t="s">
        <v>80</v>
      </c>
      <c r="C1489" t="s">
        <v>83</v>
      </c>
      <c r="D1489" t="s">
        <v>182</v>
      </c>
      <c r="F1489" t="s">
        <v>1311</v>
      </c>
      <c r="G1489" t="s">
        <v>2416</v>
      </c>
      <c r="H1489" t="s">
        <v>3694</v>
      </c>
      <c r="I1489" t="s">
        <v>3892</v>
      </c>
      <c r="J1489" t="s">
        <v>4234</v>
      </c>
      <c r="K1489">
        <v>11106</v>
      </c>
      <c r="L1489" t="s">
        <v>4275</v>
      </c>
      <c r="M1489" t="s">
        <v>4275</v>
      </c>
      <c r="O1489" t="s">
        <v>4282</v>
      </c>
      <c r="P1489" t="s">
        <v>5629</v>
      </c>
      <c r="Q1489" t="s">
        <v>5731</v>
      </c>
      <c r="R1489" t="s">
        <v>5752</v>
      </c>
      <c r="T1489" t="s">
        <v>4276</v>
      </c>
      <c r="V1489" t="s">
        <v>5767</v>
      </c>
      <c r="X1489" t="s">
        <v>182</v>
      </c>
      <c r="Y1489">
        <v>888</v>
      </c>
      <c r="Z1489" t="s">
        <v>5803</v>
      </c>
      <c r="AA1489" t="s">
        <v>5804</v>
      </c>
      <c r="AC1489" t="s">
        <v>7182</v>
      </c>
      <c r="AD1489" t="s">
        <v>7814</v>
      </c>
      <c r="AE1489" t="s">
        <v>9165</v>
      </c>
      <c r="AF1489">
        <v>18</v>
      </c>
      <c r="AG1489" t="s">
        <v>9270</v>
      </c>
      <c r="AH1489" t="s">
        <v>4280</v>
      </c>
      <c r="AI1489">
        <v>5</v>
      </c>
      <c r="AJ1489">
        <v>1</v>
      </c>
      <c r="AK1489">
        <v>2</v>
      </c>
      <c r="AL1489">
        <v>0</v>
      </c>
      <c r="AO1489" t="s">
        <v>1425</v>
      </c>
      <c r="AP1489">
        <v>0</v>
      </c>
      <c r="AV1489">
        <v>2.8</v>
      </c>
      <c r="AW1489" t="s">
        <v>73</v>
      </c>
    </row>
    <row r="1490" spans="1:49">
      <c r="A1490" s="1">
        <f>HYPERLINK("https://cms.ls-nyc.org/matter/dynamic-profile/view/1889881","19-1889881")</f>
        <v>0</v>
      </c>
      <c r="B1490" t="s">
        <v>80</v>
      </c>
      <c r="C1490" t="s">
        <v>83</v>
      </c>
      <c r="D1490" t="s">
        <v>175</v>
      </c>
      <c r="F1490" t="s">
        <v>1312</v>
      </c>
      <c r="G1490" t="s">
        <v>2417</v>
      </c>
      <c r="H1490" t="s">
        <v>3752</v>
      </c>
      <c r="I1490" t="s">
        <v>3894</v>
      </c>
      <c r="J1490" t="s">
        <v>4234</v>
      </c>
      <c r="K1490">
        <v>11105</v>
      </c>
      <c r="L1490" t="s">
        <v>4275</v>
      </c>
      <c r="M1490" t="s">
        <v>4275</v>
      </c>
      <c r="O1490" t="s">
        <v>4282</v>
      </c>
      <c r="P1490" t="s">
        <v>5630</v>
      </c>
      <c r="Q1490" t="s">
        <v>5731</v>
      </c>
      <c r="R1490" t="s">
        <v>5753</v>
      </c>
      <c r="T1490" t="s">
        <v>4276</v>
      </c>
      <c r="V1490" t="s">
        <v>5767</v>
      </c>
      <c r="W1490" t="s">
        <v>5771</v>
      </c>
      <c r="X1490" t="s">
        <v>175</v>
      </c>
      <c r="Y1490">
        <v>2000</v>
      </c>
      <c r="Z1490" t="s">
        <v>5803</v>
      </c>
      <c r="AA1490" t="s">
        <v>5804</v>
      </c>
      <c r="AC1490" t="s">
        <v>7183</v>
      </c>
      <c r="AD1490" t="s">
        <v>7815</v>
      </c>
      <c r="AE1490" t="s">
        <v>9166</v>
      </c>
      <c r="AF1490">
        <v>33</v>
      </c>
      <c r="AG1490" t="s">
        <v>9272</v>
      </c>
      <c r="AH1490" t="s">
        <v>4280</v>
      </c>
      <c r="AI1490">
        <v>1</v>
      </c>
      <c r="AJ1490">
        <v>1</v>
      </c>
      <c r="AK1490">
        <v>5</v>
      </c>
      <c r="AL1490">
        <v>0</v>
      </c>
      <c r="AO1490" t="s">
        <v>1425</v>
      </c>
      <c r="AP1490">
        <v>0</v>
      </c>
      <c r="AV1490">
        <v>0.16</v>
      </c>
      <c r="AW1490" t="s">
        <v>73</v>
      </c>
    </row>
    <row r="1491" spans="1:49">
      <c r="A1491" s="1">
        <f>HYPERLINK("https://cms.ls-nyc.org/matter/dynamic-profile/view/1891492","19-1891492")</f>
        <v>0</v>
      </c>
      <c r="B1491" t="s">
        <v>80</v>
      </c>
      <c r="C1491" t="s">
        <v>82</v>
      </c>
      <c r="D1491" t="s">
        <v>169</v>
      </c>
      <c r="E1491" t="s">
        <v>107</v>
      </c>
      <c r="F1491" t="s">
        <v>438</v>
      </c>
      <c r="G1491" t="s">
        <v>2418</v>
      </c>
      <c r="H1491" t="s">
        <v>3753</v>
      </c>
      <c r="J1491" t="s">
        <v>4234</v>
      </c>
      <c r="K1491">
        <v>11102</v>
      </c>
      <c r="L1491" t="s">
        <v>4275</v>
      </c>
      <c r="M1491" t="s">
        <v>4275</v>
      </c>
      <c r="O1491" t="s">
        <v>4283</v>
      </c>
      <c r="P1491" t="s">
        <v>5631</v>
      </c>
      <c r="Q1491" t="s">
        <v>5732</v>
      </c>
      <c r="R1491" t="s">
        <v>5751</v>
      </c>
      <c r="S1491" t="s">
        <v>5758</v>
      </c>
      <c r="T1491" t="s">
        <v>4276</v>
      </c>
      <c r="V1491" t="s">
        <v>5767</v>
      </c>
      <c r="W1491" t="s">
        <v>5772</v>
      </c>
      <c r="X1491" t="s">
        <v>115</v>
      </c>
      <c r="Y1491">
        <v>1557</v>
      </c>
      <c r="Z1491" t="s">
        <v>5803</v>
      </c>
      <c r="AA1491" t="s">
        <v>5814</v>
      </c>
      <c r="AB1491" t="s">
        <v>5820</v>
      </c>
      <c r="AC1491" t="s">
        <v>6369</v>
      </c>
      <c r="AD1491" t="s">
        <v>7816</v>
      </c>
      <c r="AE1491" t="s">
        <v>9167</v>
      </c>
      <c r="AF1491">
        <v>6</v>
      </c>
      <c r="AG1491" t="s">
        <v>9272</v>
      </c>
      <c r="AH1491" t="s">
        <v>9283</v>
      </c>
      <c r="AI1491">
        <v>1</v>
      </c>
      <c r="AJ1491">
        <v>1</v>
      </c>
      <c r="AK1491">
        <v>3</v>
      </c>
      <c r="AL1491">
        <v>0</v>
      </c>
      <c r="AP1491">
        <v>0</v>
      </c>
      <c r="AR1491" t="s">
        <v>9329</v>
      </c>
      <c r="AS1491" t="s">
        <v>9336</v>
      </c>
      <c r="AT1491" t="s">
        <v>9369</v>
      </c>
      <c r="AU1491" t="s">
        <v>9490</v>
      </c>
      <c r="AV1491">
        <v>17.6</v>
      </c>
      <c r="AW1491" t="s">
        <v>80</v>
      </c>
    </row>
    <row r="1492" spans="1:49">
      <c r="A1492" s="1">
        <f>HYPERLINK("https://cms.ls-nyc.org/matter/dynamic-profile/view/1887450","19-1887450")</f>
        <v>0</v>
      </c>
      <c r="B1492" t="s">
        <v>80</v>
      </c>
      <c r="C1492" t="s">
        <v>82</v>
      </c>
      <c r="D1492" t="s">
        <v>284</v>
      </c>
      <c r="E1492" t="s">
        <v>313</v>
      </c>
      <c r="F1492" t="s">
        <v>1313</v>
      </c>
      <c r="G1492" t="s">
        <v>1480</v>
      </c>
      <c r="H1492" t="s">
        <v>3754</v>
      </c>
      <c r="I1492">
        <v>18</v>
      </c>
      <c r="J1492" t="s">
        <v>4230</v>
      </c>
      <c r="K1492">
        <v>11101</v>
      </c>
      <c r="L1492" t="s">
        <v>4275</v>
      </c>
      <c r="M1492" t="s">
        <v>4275</v>
      </c>
      <c r="O1492" t="s">
        <v>4283</v>
      </c>
      <c r="P1492" t="s">
        <v>5632</v>
      </c>
      <c r="Q1492" t="s">
        <v>5731</v>
      </c>
      <c r="R1492" t="s">
        <v>5751</v>
      </c>
      <c r="S1492" t="s">
        <v>5758</v>
      </c>
      <c r="T1492" t="s">
        <v>4276</v>
      </c>
      <c r="V1492" t="s">
        <v>5767</v>
      </c>
      <c r="W1492" t="s">
        <v>5771</v>
      </c>
      <c r="X1492" t="s">
        <v>284</v>
      </c>
      <c r="Y1492">
        <v>871</v>
      </c>
      <c r="Z1492" t="s">
        <v>5803</v>
      </c>
      <c r="AA1492" t="s">
        <v>5804</v>
      </c>
      <c r="AB1492" t="s">
        <v>5820</v>
      </c>
      <c r="AC1492" t="s">
        <v>7184</v>
      </c>
      <c r="AD1492" t="s">
        <v>7817</v>
      </c>
      <c r="AE1492" t="s">
        <v>9168</v>
      </c>
      <c r="AF1492">
        <v>20</v>
      </c>
      <c r="AG1492" t="s">
        <v>9272</v>
      </c>
      <c r="AH1492" t="s">
        <v>4280</v>
      </c>
      <c r="AI1492">
        <v>1</v>
      </c>
      <c r="AJ1492">
        <v>1</v>
      </c>
      <c r="AK1492">
        <v>2</v>
      </c>
      <c r="AL1492">
        <v>0</v>
      </c>
      <c r="AO1492" t="s">
        <v>1425</v>
      </c>
      <c r="AP1492">
        <v>0</v>
      </c>
      <c r="AR1492" t="s">
        <v>9329</v>
      </c>
      <c r="AS1492" t="s">
        <v>9336</v>
      </c>
      <c r="AT1492" t="s">
        <v>9369</v>
      </c>
      <c r="AU1492" t="s">
        <v>9426</v>
      </c>
      <c r="AV1492">
        <v>20.15</v>
      </c>
      <c r="AW1492" t="s">
        <v>80</v>
      </c>
    </row>
    <row r="1493" spans="1:49">
      <c r="A1493" s="1">
        <f>HYPERLINK("https://cms.ls-nyc.org/matter/dynamic-profile/view/1897405","19-1897405")</f>
        <v>0</v>
      </c>
      <c r="B1493" t="s">
        <v>80</v>
      </c>
      <c r="C1493" t="s">
        <v>83</v>
      </c>
      <c r="D1493" t="s">
        <v>106</v>
      </c>
      <c r="F1493" t="s">
        <v>819</v>
      </c>
      <c r="G1493" t="s">
        <v>2419</v>
      </c>
      <c r="H1493" t="s">
        <v>3755</v>
      </c>
      <c r="J1493" t="s">
        <v>4246</v>
      </c>
      <c r="K1493">
        <v>11694</v>
      </c>
      <c r="L1493" t="s">
        <v>4275</v>
      </c>
      <c r="M1493" t="s">
        <v>4275</v>
      </c>
      <c r="O1493" t="s">
        <v>4282</v>
      </c>
      <c r="P1493" t="s">
        <v>5633</v>
      </c>
      <c r="Q1493" t="s">
        <v>5732</v>
      </c>
      <c r="R1493" t="s">
        <v>5753</v>
      </c>
      <c r="T1493" t="s">
        <v>4276</v>
      </c>
      <c r="V1493" t="s">
        <v>5767</v>
      </c>
      <c r="W1493" t="s">
        <v>5772</v>
      </c>
      <c r="X1493" t="s">
        <v>106</v>
      </c>
      <c r="Y1493">
        <v>1200</v>
      </c>
      <c r="Z1493" t="s">
        <v>5803</v>
      </c>
      <c r="AC1493" t="s">
        <v>7185</v>
      </c>
      <c r="AD1493" t="s">
        <v>7818</v>
      </c>
      <c r="AE1493" t="s">
        <v>9169</v>
      </c>
      <c r="AF1493">
        <v>0</v>
      </c>
      <c r="AI1493">
        <v>11</v>
      </c>
      <c r="AJ1493">
        <v>1</v>
      </c>
      <c r="AK1493">
        <v>0</v>
      </c>
      <c r="AL1493">
        <v>4.04</v>
      </c>
      <c r="AO1493" t="s">
        <v>1425</v>
      </c>
      <c r="AP1493">
        <v>504</v>
      </c>
      <c r="AV1493">
        <v>2.1</v>
      </c>
      <c r="AW1493" t="s">
        <v>9547</v>
      </c>
    </row>
    <row r="1494" spans="1:49">
      <c r="A1494" s="1">
        <f>HYPERLINK("https://cms.ls-nyc.org/matter/dynamic-profile/view/1897411","19-1897411")</f>
        <v>0</v>
      </c>
      <c r="B1494" t="s">
        <v>80</v>
      </c>
      <c r="C1494" t="s">
        <v>83</v>
      </c>
      <c r="D1494" t="s">
        <v>106</v>
      </c>
      <c r="F1494" t="s">
        <v>1314</v>
      </c>
      <c r="G1494" t="s">
        <v>1535</v>
      </c>
      <c r="H1494" t="s">
        <v>3756</v>
      </c>
      <c r="I1494" t="s">
        <v>4043</v>
      </c>
      <c r="J1494" t="s">
        <v>4230</v>
      </c>
      <c r="K1494">
        <v>11101</v>
      </c>
      <c r="L1494" t="s">
        <v>4275</v>
      </c>
      <c r="M1494" t="s">
        <v>4275</v>
      </c>
      <c r="O1494" t="s">
        <v>4282</v>
      </c>
      <c r="P1494" t="s">
        <v>5634</v>
      </c>
      <c r="Q1494" t="s">
        <v>5731</v>
      </c>
      <c r="R1494" t="s">
        <v>5753</v>
      </c>
      <c r="T1494" t="s">
        <v>4275</v>
      </c>
      <c r="V1494" t="s">
        <v>5767</v>
      </c>
      <c r="W1494" t="s">
        <v>5772</v>
      </c>
      <c r="X1494" t="s">
        <v>106</v>
      </c>
      <c r="Y1494">
        <v>365</v>
      </c>
      <c r="Z1494" t="s">
        <v>5803</v>
      </c>
      <c r="AC1494" t="s">
        <v>7186</v>
      </c>
      <c r="AD1494" t="s">
        <v>7819</v>
      </c>
      <c r="AE1494" t="s">
        <v>9170</v>
      </c>
      <c r="AF1494">
        <v>30</v>
      </c>
      <c r="AI1494">
        <v>1</v>
      </c>
      <c r="AJ1494">
        <v>1</v>
      </c>
      <c r="AK1494">
        <v>1</v>
      </c>
      <c r="AL1494">
        <v>4.97</v>
      </c>
      <c r="AO1494" t="s">
        <v>1425</v>
      </c>
      <c r="AP1494">
        <v>840</v>
      </c>
      <c r="AV1494">
        <v>3.1</v>
      </c>
      <c r="AW1494" t="s">
        <v>9547</v>
      </c>
    </row>
    <row r="1495" spans="1:49">
      <c r="A1495" s="1">
        <f>HYPERLINK("https://cms.ls-nyc.org/matter/dynamic-profile/view/1893819","19-1893819")</f>
        <v>0</v>
      </c>
      <c r="B1495" t="s">
        <v>80</v>
      </c>
      <c r="C1495" t="s">
        <v>83</v>
      </c>
      <c r="D1495" t="s">
        <v>179</v>
      </c>
      <c r="F1495" t="s">
        <v>1315</v>
      </c>
      <c r="G1495" t="s">
        <v>2420</v>
      </c>
      <c r="H1495" t="s">
        <v>3757</v>
      </c>
      <c r="I1495" t="s">
        <v>4204</v>
      </c>
      <c r="J1495" t="s">
        <v>4234</v>
      </c>
      <c r="K1495">
        <v>11103</v>
      </c>
      <c r="L1495" t="s">
        <v>4275</v>
      </c>
      <c r="M1495" t="s">
        <v>4275</v>
      </c>
      <c r="O1495" t="s">
        <v>4282</v>
      </c>
      <c r="P1495" t="s">
        <v>5635</v>
      </c>
      <c r="Q1495" t="s">
        <v>5731</v>
      </c>
      <c r="R1495" t="s">
        <v>5752</v>
      </c>
      <c r="V1495" t="s">
        <v>5767</v>
      </c>
      <c r="X1495" t="s">
        <v>179</v>
      </c>
      <c r="Y1495">
        <v>500</v>
      </c>
      <c r="Z1495" t="s">
        <v>5803</v>
      </c>
      <c r="AA1495" t="s">
        <v>5804</v>
      </c>
      <c r="AC1495" t="s">
        <v>7187</v>
      </c>
      <c r="AE1495" t="s">
        <v>9171</v>
      </c>
      <c r="AF1495">
        <v>10</v>
      </c>
      <c r="AH1495" t="s">
        <v>5806</v>
      </c>
      <c r="AI1495">
        <v>1</v>
      </c>
      <c r="AJ1495">
        <v>1</v>
      </c>
      <c r="AK1495">
        <v>0</v>
      </c>
      <c r="AL1495">
        <v>8.65</v>
      </c>
      <c r="AO1495" t="s">
        <v>9298</v>
      </c>
      <c r="AP1495">
        <v>1080</v>
      </c>
      <c r="AV1495">
        <v>1.2</v>
      </c>
      <c r="AW1495" t="s">
        <v>9547</v>
      </c>
    </row>
    <row r="1496" spans="1:49">
      <c r="A1496" s="1">
        <f>HYPERLINK("https://cms.ls-nyc.org/matter/dynamic-profile/view/1896593","19-1896593")</f>
        <v>0</v>
      </c>
      <c r="B1496" t="s">
        <v>80</v>
      </c>
      <c r="C1496" t="s">
        <v>83</v>
      </c>
      <c r="D1496" t="s">
        <v>248</v>
      </c>
      <c r="F1496" t="s">
        <v>1316</v>
      </c>
      <c r="G1496" t="s">
        <v>2421</v>
      </c>
      <c r="H1496" t="s">
        <v>2860</v>
      </c>
      <c r="I1496" t="s">
        <v>4204</v>
      </c>
      <c r="J1496" t="s">
        <v>4240</v>
      </c>
      <c r="K1496">
        <v>11373</v>
      </c>
      <c r="L1496" t="s">
        <v>4275</v>
      </c>
      <c r="M1496" t="s">
        <v>4275</v>
      </c>
      <c r="O1496" t="s">
        <v>4282</v>
      </c>
      <c r="P1496" t="s">
        <v>5285</v>
      </c>
      <c r="Q1496" t="s">
        <v>5731</v>
      </c>
      <c r="R1496" t="s">
        <v>5751</v>
      </c>
      <c r="T1496" t="s">
        <v>4276</v>
      </c>
      <c r="V1496" t="s">
        <v>5767</v>
      </c>
      <c r="W1496" t="s">
        <v>5772</v>
      </c>
      <c r="X1496" t="s">
        <v>5798</v>
      </c>
      <c r="Y1496">
        <v>1299</v>
      </c>
      <c r="Z1496" t="s">
        <v>5803</v>
      </c>
      <c r="AA1496" t="s">
        <v>5804</v>
      </c>
      <c r="AC1496" t="s">
        <v>7188</v>
      </c>
      <c r="AE1496" t="s">
        <v>9172</v>
      </c>
      <c r="AF1496">
        <v>9</v>
      </c>
      <c r="AG1496" t="s">
        <v>9272</v>
      </c>
      <c r="AH1496" t="s">
        <v>4280</v>
      </c>
      <c r="AI1496">
        <v>14</v>
      </c>
      <c r="AJ1496">
        <v>2</v>
      </c>
      <c r="AK1496">
        <v>2</v>
      </c>
      <c r="AL1496">
        <v>13.98</v>
      </c>
      <c r="AO1496" t="s">
        <v>9306</v>
      </c>
      <c r="AP1496">
        <v>3600</v>
      </c>
      <c r="AV1496">
        <v>8.699999999999999</v>
      </c>
      <c r="AW1496" t="s">
        <v>74</v>
      </c>
    </row>
    <row r="1497" spans="1:49">
      <c r="A1497" s="1">
        <f>HYPERLINK("https://cms.ls-nyc.org/matter/dynamic-profile/view/1884823","18-1884823")</f>
        <v>0</v>
      </c>
      <c r="B1497" t="s">
        <v>80</v>
      </c>
      <c r="C1497" t="s">
        <v>83</v>
      </c>
      <c r="D1497" t="s">
        <v>108</v>
      </c>
      <c r="F1497" t="s">
        <v>1317</v>
      </c>
      <c r="G1497" t="s">
        <v>2422</v>
      </c>
      <c r="H1497" t="s">
        <v>3758</v>
      </c>
      <c r="J1497" t="s">
        <v>4222</v>
      </c>
      <c r="K1497">
        <v>11434</v>
      </c>
      <c r="L1497" t="s">
        <v>4275</v>
      </c>
      <c r="M1497" t="s">
        <v>4275</v>
      </c>
      <c r="O1497" t="s">
        <v>4281</v>
      </c>
      <c r="P1497" t="s">
        <v>5636</v>
      </c>
      <c r="Q1497" t="s">
        <v>5732</v>
      </c>
      <c r="R1497" t="s">
        <v>5751</v>
      </c>
      <c r="T1497" t="s">
        <v>4276</v>
      </c>
      <c r="V1497" t="s">
        <v>5767</v>
      </c>
      <c r="W1497" t="s">
        <v>5772</v>
      </c>
      <c r="X1497" t="s">
        <v>108</v>
      </c>
      <c r="Y1497">
        <v>1878</v>
      </c>
      <c r="Z1497" t="s">
        <v>5803</v>
      </c>
      <c r="AA1497" t="s">
        <v>5805</v>
      </c>
      <c r="AC1497" t="s">
        <v>7189</v>
      </c>
      <c r="AE1497" t="s">
        <v>9173</v>
      </c>
      <c r="AF1497">
        <v>1</v>
      </c>
      <c r="AG1497" t="s">
        <v>9269</v>
      </c>
      <c r="AH1497" t="s">
        <v>9282</v>
      </c>
      <c r="AI1497">
        <v>6</v>
      </c>
      <c r="AJ1497">
        <v>1</v>
      </c>
      <c r="AK1497">
        <v>3</v>
      </c>
      <c r="AL1497">
        <v>14.61</v>
      </c>
      <c r="AO1497" t="s">
        <v>1425</v>
      </c>
      <c r="AP1497">
        <v>3666</v>
      </c>
      <c r="AV1497">
        <v>14.2</v>
      </c>
      <c r="AW1497" t="s">
        <v>60</v>
      </c>
    </row>
    <row r="1498" spans="1:49">
      <c r="A1498" s="1">
        <f>HYPERLINK("https://cms.ls-nyc.org/matter/dynamic-profile/view/1895308","19-1895308")</f>
        <v>0</v>
      </c>
      <c r="B1498" t="s">
        <v>80</v>
      </c>
      <c r="C1498" t="s">
        <v>83</v>
      </c>
      <c r="D1498" t="s">
        <v>285</v>
      </c>
      <c r="F1498" t="s">
        <v>1318</v>
      </c>
      <c r="G1498" t="s">
        <v>2423</v>
      </c>
      <c r="H1498" t="s">
        <v>3759</v>
      </c>
      <c r="J1498" t="s">
        <v>4260</v>
      </c>
      <c r="K1498">
        <v>11413</v>
      </c>
      <c r="L1498" t="s">
        <v>4275</v>
      </c>
      <c r="M1498" t="s">
        <v>4275</v>
      </c>
      <c r="O1498" t="s">
        <v>4282</v>
      </c>
      <c r="P1498" t="s">
        <v>5637</v>
      </c>
      <c r="Q1498" t="s">
        <v>5732</v>
      </c>
      <c r="R1498" t="s">
        <v>5751</v>
      </c>
      <c r="V1498" t="s">
        <v>5767</v>
      </c>
      <c r="X1498" t="s">
        <v>238</v>
      </c>
      <c r="Y1498">
        <v>1100</v>
      </c>
      <c r="Z1498" t="s">
        <v>5803</v>
      </c>
      <c r="AA1498" t="s">
        <v>5804</v>
      </c>
      <c r="AC1498" t="s">
        <v>7190</v>
      </c>
      <c r="AE1498" t="s">
        <v>9174</v>
      </c>
      <c r="AF1498">
        <v>14</v>
      </c>
      <c r="AG1498" t="s">
        <v>9272</v>
      </c>
      <c r="AI1498">
        <v>10</v>
      </c>
      <c r="AJ1498">
        <v>1</v>
      </c>
      <c r="AK1498">
        <v>1</v>
      </c>
      <c r="AL1498">
        <v>14.9</v>
      </c>
      <c r="AO1498" t="s">
        <v>1425</v>
      </c>
      <c r="AP1498">
        <v>2520</v>
      </c>
      <c r="AV1498">
        <v>28.9</v>
      </c>
      <c r="AW1498" t="s">
        <v>80</v>
      </c>
    </row>
    <row r="1499" spans="1:49">
      <c r="A1499" s="1">
        <f>HYPERLINK("https://cms.ls-nyc.org/matter/dynamic-profile/view/1888875","19-1888875")</f>
        <v>0</v>
      </c>
      <c r="B1499" t="s">
        <v>80</v>
      </c>
      <c r="C1499" t="s">
        <v>83</v>
      </c>
      <c r="D1499" t="s">
        <v>88</v>
      </c>
      <c r="F1499" t="s">
        <v>844</v>
      </c>
      <c r="G1499" t="s">
        <v>2424</v>
      </c>
      <c r="H1499" t="s">
        <v>3760</v>
      </c>
      <c r="I1499" t="s">
        <v>4205</v>
      </c>
      <c r="J1499" t="s">
        <v>4250</v>
      </c>
      <c r="K1499">
        <v>11412</v>
      </c>
      <c r="L1499" t="s">
        <v>4277</v>
      </c>
      <c r="M1499" t="s">
        <v>4277</v>
      </c>
      <c r="O1499" t="s">
        <v>4282</v>
      </c>
      <c r="P1499" t="s">
        <v>5638</v>
      </c>
      <c r="R1499" t="s">
        <v>5753</v>
      </c>
      <c r="V1499" t="s">
        <v>5767</v>
      </c>
      <c r="Y1499">
        <v>0</v>
      </c>
      <c r="Z1499" t="s">
        <v>5803</v>
      </c>
      <c r="AA1499" t="s">
        <v>5804</v>
      </c>
      <c r="AC1499" t="s">
        <v>7191</v>
      </c>
      <c r="AE1499" t="s">
        <v>9175</v>
      </c>
      <c r="AF1499">
        <v>1</v>
      </c>
      <c r="AG1499" t="s">
        <v>9269</v>
      </c>
      <c r="AH1499" t="s">
        <v>4280</v>
      </c>
      <c r="AI1499">
        <v>9</v>
      </c>
      <c r="AJ1499">
        <v>2</v>
      </c>
      <c r="AK1499">
        <v>0</v>
      </c>
      <c r="AL1499">
        <v>19.07</v>
      </c>
      <c r="AP1499">
        <v>3224</v>
      </c>
      <c r="AV1499">
        <v>0</v>
      </c>
      <c r="AW1499" t="s">
        <v>74</v>
      </c>
    </row>
    <row r="1500" spans="1:49">
      <c r="A1500" s="1">
        <f>HYPERLINK("https://cms.ls-nyc.org/matter/dynamic-profile/view/1895739","19-1895739")</f>
        <v>0</v>
      </c>
      <c r="B1500" t="s">
        <v>80</v>
      </c>
      <c r="C1500" t="s">
        <v>83</v>
      </c>
      <c r="D1500" t="s">
        <v>94</v>
      </c>
      <c r="F1500" t="s">
        <v>1319</v>
      </c>
      <c r="G1500" t="s">
        <v>2425</v>
      </c>
      <c r="H1500" t="s">
        <v>3761</v>
      </c>
      <c r="I1500" t="s">
        <v>3867</v>
      </c>
      <c r="J1500" t="s">
        <v>4253</v>
      </c>
      <c r="K1500">
        <v>11422</v>
      </c>
      <c r="L1500" t="s">
        <v>4275</v>
      </c>
      <c r="M1500" t="s">
        <v>4275</v>
      </c>
      <c r="O1500" t="s">
        <v>4282</v>
      </c>
      <c r="P1500" t="s">
        <v>5639</v>
      </c>
      <c r="Q1500" t="s">
        <v>5731</v>
      </c>
      <c r="R1500" t="s">
        <v>5752</v>
      </c>
      <c r="T1500" t="s">
        <v>4276</v>
      </c>
      <c r="V1500" t="s">
        <v>5767</v>
      </c>
      <c r="X1500" t="s">
        <v>94</v>
      </c>
      <c r="Y1500">
        <v>1557</v>
      </c>
      <c r="Z1500" t="s">
        <v>5803</v>
      </c>
      <c r="AA1500" t="s">
        <v>5804</v>
      </c>
      <c r="AC1500" t="s">
        <v>7192</v>
      </c>
      <c r="AD1500" t="s">
        <v>7820</v>
      </c>
      <c r="AE1500" t="s">
        <v>9176</v>
      </c>
      <c r="AF1500">
        <v>2</v>
      </c>
      <c r="AG1500" t="s">
        <v>9270</v>
      </c>
      <c r="AH1500" t="s">
        <v>9283</v>
      </c>
      <c r="AI1500">
        <v>4</v>
      </c>
      <c r="AJ1500">
        <v>1</v>
      </c>
      <c r="AK1500">
        <v>3</v>
      </c>
      <c r="AL1500">
        <v>20.4</v>
      </c>
      <c r="AO1500" t="s">
        <v>1425</v>
      </c>
      <c r="AP1500">
        <v>5252</v>
      </c>
      <c r="AV1500">
        <v>1.3</v>
      </c>
      <c r="AW1500" t="s">
        <v>54</v>
      </c>
    </row>
    <row r="1501" spans="1:49">
      <c r="A1501" s="1">
        <f>HYPERLINK("https://cms.ls-nyc.org/matter/dynamic-profile/view/1891160","19-1891160")</f>
        <v>0</v>
      </c>
      <c r="B1501" t="s">
        <v>80</v>
      </c>
      <c r="C1501" t="s">
        <v>83</v>
      </c>
      <c r="D1501" t="s">
        <v>167</v>
      </c>
      <c r="F1501" t="s">
        <v>387</v>
      </c>
      <c r="G1501" t="s">
        <v>2426</v>
      </c>
      <c r="H1501" t="s">
        <v>3762</v>
      </c>
      <c r="I1501" t="s">
        <v>3878</v>
      </c>
      <c r="J1501" t="s">
        <v>4244</v>
      </c>
      <c r="K1501">
        <v>11413</v>
      </c>
      <c r="L1501" t="s">
        <v>4277</v>
      </c>
      <c r="M1501" t="s">
        <v>4277</v>
      </c>
      <c r="O1501" t="s">
        <v>4282</v>
      </c>
      <c r="P1501" t="s">
        <v>5640</v>
      </c>
      <c r="Q1501" t="s">
        <v>5732</v>
      </c>
      <c r="V1501" t="s">
        <v>5767</v>
      </c>
      <c r="Y1501">
        <v>900</v>
      </c>
      <c r="Z1501" t="s">
        <v>5803</v>
      </c>
      <c r="AA1501" t="s">
        <v>5804</v>
      </c>
      <c r="AC1501" t="s">
        <v>7193</v>
      </c>
      <c r="AE1501" t="s">
        <v>9177</v>
      </c>
      <c r="AF1501">
        <v>1</v>
      </c>
      <c r="AG1501" t="s">
        <v>9269</v>
      </c>
      <c r="AH1501" t="s">
        <v>4280</v>
      </c>
      <c r="AI1501">
        <v>8</v>
      </c>
      <c r="AJ1501">
        <v>1</v>
      </c>
      <c r="AK1501">
        <v>0</v>
      </c>
      <c r="AL1501">
        <v>24.02</v>
      </c>
      <c r="AP1501">
        <v>3000</v>
      </c>
      <c r="AV1501">
        <v>1.56</v>
      </c>
      <c r="AW1501" t="s">
        <v>74</v>
      </c>
    </row>
    <row r="1502" spans="1:49">
      <c r="A1502" s="1">
        <f>HYPERLINK("https://cms.ls-nyc.org/matter/dynamic-profile/view/1888298","19-1888298")</f>
        <v>0</v>
      </c>
      <c r="B1502" t="s">
        <v>80</v>
      </c>
      <c r="C1502" t="s">
        <v>83</v>
      </c>
      <c r="D1502" t="s">
        <v>135</v>
      </c>
      <c r="F1502" t="s">
        <v>558</v>
      </c>
      <c r="G1502" t="s">
        <v>2427</v>
      </c>
      <c r="H1502" t="s">
        <v>3763</v>
      </c>
      <c r="J1502" t="s">
        <v>4227</v>
      </c>
      <c r="K1502">
        <v>11365</v>
      </c>
      <c r="L1502" t="s">
        <v>4277</v>
      </c>
      <c r="M1502" t="s">
        <v>4277</v>
      </c>
      <c r="O1502" t="s">
        <v>4282</v>
      </c>
      <c r="P1502" t="s">
        <v>5641</v>
      </c>
      <c r="Q1502" t="s">
        <v>5731</v>
      </c>
      <c r="V1502" t="s">
        <v>5767</v>
      </c>
      <c r="Y1502">
        <v>101</v>
      </c>
      <c r="Z1502" t="s">
        <v>5803</v>
      </c>
      <c r="AA1502" t="s">
        <v>5804</v>
      </c>
      <c r="AC1502" t="s">
        <v>7194</v>
      </c>
      <c r="AD1502" t="s">
        <v>7821</v>
      </c>
      <c r="AE1502" t="s">
        <v>9178</v>
      </c>
      <c r="AF1502">
        <v>28</v>
      </c>
      <c r="AG1502" t="s">
        <v>9271</v>
      </c>
      <c r="AH1502" t="s">
        <v>4280</v>
      </c>
      <c r="AI1502">
        <v>5</v>
      </c>
      <c r="AJ1502">
        <v>1</v>
      </c>
      <c r="AK1502">
        <v>1</v>
      </c>
      <c r="AL1502">
        <v>25.52</v>
      </c>
      <c r="AO1502" t="s">
        <v>1425</v>
      </c>
      <c r="AP1502">
        <v>4200</v>
      </c>
      <c r="AV1502">
        <v>2.75</v>
      </c>
      <c r="AW1502" t="s">
        <v>74</v>
      </c>
    </row>
    <row r="1503" spans="1:49">
      <c r="A1503" s="1">
        <f>HYPERLINK("https://cms.ls-nyc.org/matter/dynamic-profile/view/1899324","19-1899324")</f>
        <v>0</v>
      </c>
      <c r="B1503" t="s">
        <v>80</v>
      </c>
      <c r="C1503" t="s">
        <v>83</v>
      </c>
      <c r="D1503" t="s">
        <v>104</v>
      </c>
      <c r="F1503" t="s">
        <v>1320</v>
      </c>
      <c r="G1503" t="s">
        <v>2428</v>
      </c>
      <c r="H1503" t="s">
        <v>3764</v>
      </c>
      <c r="I1503" t="s">
        <v>3934</v>
      </c>
      <c r="J1503" t="s">
        <v>4231</v>
      </c>
      <c r="K1503">
        <v>11419</v>
      </c>
      <c r="L1503" t="s">
        <v>4275</v>
      </c>
      <c r="M1503" t="s">
        <v>4277</v>
      </c>
      <c r="N1503" t="s">
        <v>4278</v>
      </c>
      <c r="O1503" t="s">
        <v>4282</v>
      </c>
      <c r="P1503" t="s">
        <v>5642</v>
      </c>
      <c r="Q1503" t="s">
        <v>5732</v>
      </c>
      <c r="R1503" t="s">
        <v>5752</v>
      </c>
      <c r="T1503" t="s">
        <v>4276</v>
      </c>
      <c r="V1503" t="s">
        <v>5767</v>
      </c>
      <c r="X1503" t="s">
        <v>104</v>
      </c>
      <c r="Y1503">
        <v>1300</v>
      </c>
      <c r="Z1503" t="s">
        <v>5803</v>
      </c>
      <c r="AA1503" t="s">
        <v>5804</v>
      </c>
      <c r="AC1503" t="s">
        <v>7195</v>
      </c>
      <c r="AE1503" t="s">
        <v>9179</v>
      </c>
      <c r="AF1503">
        <v>5</v>
      </c>
      <c r="AG1503" t="s">
        <v>9270</v>
      </c>
      <c r="AH1503" t="s">
        <v>4280</v>
      </c>
      <c r="AI1503">
        <v>3</v>
      </c>
      <c r="AJ1503">
        <v>1</v>
      </c>
      <c r="AK1503">
        <v>1</v>
      </c>
      <c r="AL1503">
        <v>28.39</v>
      </c>
      <c r="AO1503" t="s">
        <v>1425</v>
      </c>
      <c r="AP1503">
        <v>4800</v>
      </c>
      <c r="AV1503">
        <v>2.9</v>
      </c>
      <c r="AW1503" t="s">
        <v>54</v>
      </c>
    </row>
    <row r="1504" spans="1:49">
      <c r="A1504" s="1">
        <f>HYPERLINK("https://cms.ls-nyc.org/matter/dynamic-profile/view/1897282","19-1897282")</f>
        <v>0</v>
      </c>
      <c r="B1504" t="s">
        <v>80</v>
      </c>
      <c r="C1504" t="s">
        <v>82</v>
      </c>
      <c r="D1504" t="s">
        <v>106</v>
      </c>
      <c r="E1504" t="s">
        <v>90</v>
      </c>
      <c r="F1504" t="s">
        <v>1321</v>
      </c>
      <c r="G1504" t="s">
        <v>2429</v>
      </c>
      <c r="H1504" t="s">
        <v>3765</v>
      </c>
      <c r="I1504" t="s">
        <v>4033</v>
      </c>
      <c r="J1504" t="s">
        <v>4222</v>
      </c>
      <c r="K1504">
        <v>11433</v>
      </c>
      <c r="L1504" t="s">
        <v>4275</v>
      </c>
      <c r="M1504" t="s">
        <v>4275</v>
      </c>
      <c r="N1504" t="s">
        <v>4278</v>
      </c>
      <c r="O1504" t="s">
        <v>4281</v>
      </c>
      <c r="P1504" t="s">
        <v>5643</v>
      </c>
      <c r="Q1504" t="s">
        <v>5731</v>
      </c>
      <c r="R1504" t="s">
        <v>5751</v>
      </c>
      <c r="S1504" t="s">
        <v>5758</v>
      </c>
      <c r="T1504" t="s">
        <v>4276</v>
      </c>
      <c r="V1504" t="s">
        <v>5768</v>
      </c>
      <c r="W1504" t="s">
        <v>5772</v>
      </c>
      <c r="X1504" t="s">
        <v>106</v>
      </c>
      <c r="Y1504">
        <v>751</v>
      </c>
      <c r="Z1504" t="s">
        <v>5803</v>
      </c>
      <c r="AA1504" t="s">
        <v>5805</v>
      </c>
      <c r="AB1504" t="s">
        <v>5823</v>
      </c>
      <c r="AC1504" t="s">
        <v>7196</v>
      </c>
      <c r="AE1504" t="s">
        <v>9180</v>
      </c>
      <c r="AF1504">
        <v>56</v>
      </c>
      <c r="AG1504" t="s">
        <v>9271</v>
      </c>
      <c r="AH1504" t="s">
        <v>5806</v>
      </c>
      <c r="AI1504">
        <v>14</v>
      </c>
      <c r="AJ1504">
        <v>1</v>
      </c>
      <c r="AK1504">
        <v>4</v>
      </c>
      <c r="AL1504">
        <v>29.04</v>
      </c>
      <c r="AO1504" t="s">
        <v>1425</v>
      </c>
      <c r="AP1504">
        <v>8760</v>
      </c>
      <c r="AR1504" t="s">
        <v>9327</v>
      </c>
      <c r="AS1504" t="s">
        <v>9336</v>
      </c>
      <c r="AT1504" t="s">
        <v>9369</v>
      </c>
      <c r="AU1504" t="s">
        <v>9420</v>
      </c>
      <c r="AV1504">
        <v>7.65</v>
      </c>
      <c r="AW1504" t="s">
        <v>9548</v>
      </c>
    </row>
    <row r="1505" spans="1:49">
      <c r="A1505" s="1">
        <f>HYPERLINK("https://cms.ls-nyc.org/matter/dynamic-profile/view/1882608","18-1882608")</f>
        <v>0</v>
      </c>
      <c r="B1505" t="s">
        <v>80</v>
      </c>
      <c r="C1505" t="s">
        <v>82</v>
      </c>
      <c r="D1505" t="s">
        <v>111</v>
      </c>
      <c r="E1505" t="s">
        <v>193</v>
      </c>
      <c r="F1505" t="s">
        <v>1322</v>
      </c>
      <c r="G1505" t="s">
        <v>2430</v>
      </c>
      <c r="H1505" t="s">
        <v>3766</v>
      </c>
      <c r="I1505" t="s">
        <v>3846</v>
      </c>
      <c r="J1505" t="s">
        <v>4222</v>
      </c>
      <c r="K1505">
        <v>11435</v>
      </c>
      <c r="L1505" t="s">
        <v>4275</v>
      </c>
      <c r="M1505" t="s">
        <v>4275</v>
      </c>
      <c r="O1505" t="s">
        <v>4282</v>
      </c>
      <c r="P1505" t="s">
        <v>5644</v>
      </c>
      <c r="Q1505" t="s">
        <v>5731</v>
      </c>
      <c r="R1505" t="s">
        <v>5753</v>
      </c>
      <c r="S1505" t="s">
        <v>5759</v>
      </c>
      <c r="T1505" t="s">
        <v>4276</v>
      </c>
      <c r="V1505" t="s">
        <v>5767</v>
      </c>
      <c r="W1505" t="s">
        <v>5774</v>
      </c>
      <c r="X1505" t="s">
        <v>111</v>
      </c>
      <c r="Y1505">
        <v>1569</v>
      </c>
      <c r="Z1505" t="s">
        <v>5803</v>
      </c>
      <c r="AA1505" t="s">
        <v>5804</v>
      </c>
      <c r="AB1505" t="s">
        <v>5821</v>
      </c>
      <c r="AC1505" t="s">
        <v>7197</v>
      </c>
      <c r="AD1505" t="s">
        <v>7822</v>
      </c>
      <c r="AE1505" t="s">
        <v>9181</v>
      </c>
      <c r="AF1505">
        <v>47</v>
      </c>
      <c r="AH1505" t="s">
        <v>9283</v>
      </c>
      <c r="AI1505">
        <v>6</v>
      </c>
      <c r="AJ1505">
        <v>2</v>
      </c>
      <c r="AK1505">
        <v>4</v>
      </c>
      <c r="AL1505">
        <v>32.6</v>
      </c>
      <c r="AO1505" t="s">
        <v>1425</v>
      </c>
      <c r="AP1505">
        <v>11000</v>
      </c>
      <c r="AV1505">
        <v>1.1</v>
      </c>
      <c r="AW1505" t="s">
        <v>73</v>
      </c>
    </row>
    <row r="1506" spans="1:49">
      <c r="A1506" s="1">
        <f>HYPERLINK("https://cms.ls-nyc.org/matter/dynamic-profile/view/1881347","18-1881347")</f>
        <v>0</v>
      </c>
      <c r="B1506" t="s">
        <v>80</v>
      </c>
      <c r="C1506" t="s">
        <v>83</v>
      </c>
      <c r="D1506" t="s">
        <v>150</v>
      </c>
      <c r="F1506" t="s">
        <v>567</v>
      </c>
      <c r="G1506" t="s">
        <v>2431</v>
      </c>
      <c r="H1506" t="s">
        <v>3767</v>
      </c>
      <c r="J1506" t="s">
        <v>4222</v>
      </c>
      <c r="K1506">
        <v>11433</v>
      </c>
      <c r="L1506" t="s">
        <v>4277</v>
      </c>
      <c r="M1506" t="s">
        <v>4275</v>
      </c>
      <c r="O1506" t="s">
        <v>4281</v>
      </c>
      <c r="P1506" t="s">
        <v>5645</v>
      </c>
      <c r="Q1506" t="s">
        <v>5732</v>
      </c>
      <c r="R1506" t="s">
        <v>5751</v>
      </c>
      <c r="V1506" t="s">
        <v>5767</v>
      </c>
      <c r="X1506" t="s">
        <v>150</v>
      </c>
      <c r="Y1506">
        <v>500</v>
      </c>
      <c r="Z1506" t="s">
        <v>5803</v>
      </c>
      <c r="AA1506" t="s">
        <v>5804</v>
      </c>
      <c r="AC1506" t="s">
        <v>7198</v>
      </c>
      <c r="AE1506" t="s">
        <v>9182</v>
      </c>
      <c r="AF1506">
        <v>2</v>
      </c>
      <c r="AG1506" t="s">
        <v>9269</v>
      </c>
      <c r="AH1506" t="s">
        <v>4280</v>
      </c>
      <c r="AI1506">
        <v>1</v>
      </c>
      <c r="AJ1506">
        <v>4</v>
      </c>
      <c r="AK1506">
        <v>0</v>
      </c>
      <c r="AL1506">
        <v>38.25</v>
      </c>
      <c r="AO1506" t="s">
        <v>1425</v>
      </c>
      <c r="AP1506">
        <v>9600</v>
      </c>
      <c r="AV1506">
        <v>37.51</v>
      </c>
      <c r="AW1506" t="s">
        <v>74</v>
      </c>
    </row>
    <row r="1507" spans="1:49">
      <c r="A1507" s="1">
        <f>HYPERLINK("https://cms.ls-nyc.org/matter/dynamic-profile/view/1884250","18-1884250")</f>
        <v>0</v>
      </c>
      <c r="B1507" t="s">
        <v>80</v>
      </c>
      <c r="C1507" t="s">
        <v>83</v>
      </c>
      <c r="D1507" t="s">
        <v>149</v>
      </c>
      <c r="F1507" t="s">
        <v>1323</v>
      </c>
      <c r="G1507" t="s">
        <v>2432</v>
      </c>
      <c r="H1507" t="s">
        <v>2651</v>
      </c>
      <c r="I1507" t="s">
        <v>3964</v>
      </c>
      <c r="J1507" t="s">
        <v>4234</v>
      </c>
      <c r="K1507">
        <v>11102</v>
      </c>
      <c r="L1507" t="s">
        <v>4275</v>
      </c>
      <c r="M1507" t="s">
        <v>4275</v>
      </c>
      <c r="O1507" t="s">
        <v>4282</v>
      </c>
      <c r="P1507" t="s">
        <v>5646</v>
      </c>
      <c r="Q1507" t="s">
        <v>5750</v>
      </c>
      <c r="R1507" t="s">
        <v>5753</v>
      </c>
      <c r="T1507" t="s">
        <v>4276</v>
      </c>
      <c r="V1507" t="s">
        <v>5767</v>
      </c>
      <c r="W1507" t="s">
        <v>5772</v>
      </c>
      <c r="X1507" t="s">
        <v>149</v>
      </c>
      <c r="Y1507">
        <v>375</v>
      </c>
      <c r="Z1507" t="s">
        <v>5803</v>
      </c>
      <c r="AA1507" t="s">
        <v>5804</v>
      </c>
      <c r="AC1507" t="s">
        <v>7199</v>
      </c>
      <c r="AE1507" t="s">
        <v>9183</v>
      </c>
      <c r="AF1507">
        <v>48</v>
      </c>
      <c r="AG1507" t="s">
        <v>9279</v>
      </c>
      <c r="AH1507" t="s">
        <v>4280</v>
      </c>
      <c r="AI1507">
        <v>3</v>
      </c>
      <c r="AJ1507">
        <v>2</v>
      </c>
      <c r="AK1507">
        <v>1</v>
      </c>
      <c r="AL1507">
        <v>38.58</v>
      </c>
      <c r="AO1507" t="s">
        <v>1425</v>
      </c>
      <c r="AP1507">
        <v>8016</v>
      </c>
      <c r="AV1507">
        <v>2.6</v>
      </c>
      <c r="AW1507" t="s">
        <v>73</v>
      </c>
    </row>
    <row r="1508" spans="1:49">
      <c r="A1508" s="1">
        <f>HYPERLINK("https://cms.ls-nyc.org/matter/dynamic-profile/view/1900385","19-1900385")</f>
        <v>0</v>
      </c>
      <c r="B1508" t="s">
        <v>80</v>
      </c>
      <c r="C1508" t="s">
        <v>83</v>
      </c>
      <c r="D1508" t="s">
        <v>232</v>
      </c>
      <c r="F1508" t="s">
        <v>1324</v>
      </c>
      <c r="G1508" t="s">
        <v>1701</v>
      </c>
      <c r="H1508" t="s">
        <v>3768</v>
      </c>
      <c r="I1508" t="s">
        <v>4206</v>
      </c>
      <c r="J1508" t="s">
        <v>4267</v>
      </c>
      <c r="K1508">
        <v>11372</v>
      </c>
      <c r="L1508" t="s">
        <v>4275</v>
      </c>
      <c r="M1508" t="s">
        <v>4277</v>
      </c>
      <c r="N1508" t="s">
        <v>4278</v>
      </c>
      <c r="O1508" t="s">
        <v>4282</v>
      </c>
      <c r="P1508" t="s">
        <v>5647</v>
      </c>
      <c r="Q1508" t="s">
        <v>5732</v>
      </c>
      <c r="R1508" t="s">
        <v>5753</v>
      </c>
      <c r="T1508" t="s">
        <v>4276</v>
      </c>
      <c r="V1508" t="s">
        <v>5767</v>
      </c>
      <c r="W1508" t="s">
        <v>5772</v>
      </c>
      <c r="X1508" t="s">
        <v>232</v>
      </c>
      <c r="Y1508">
        <v>0</v>
      </c>
      <c r="Z1508" t="s">
        <v>5803</v>
      </c>
      <c r="AA1508" t="s">
        <v>5808</v>
      </c>
      <c r="AC1508" t="s">
        <v>7200</v>
      </c>
      <c r="AE1508" t="s">
        <v>9184</v>
      </c>
      <c r="AF1508">
        <v>0</v>
      </c>
      <c r="AG1508" t="s">
        <v>9270</v>
      </c>
      <c r="AH1508" t="s">
        <v>4280</v>
      </c>
      <c r="AI1508">
        <v>0</v>
      </c>
      <c r="AJ1508">
        <v>2</v>
      </c>
      <c r="AK1508">
        <v>1</v>
      </c>
      <c r="AL1508">
        <v>46.88</v>
      </c>
      <c r="AO1508" t="s">
        <v>1425</v>
      </c>
      <c r="AP1508">
        <v>10000</v>
      </c>
      <c r="AV1508">
        <v>2.4</v>
      </c>
      <c r="AW1508" t="s">
        <v>54</v>
      </c>
    </row>
    <row r="1509" spans="1:49">
      <c r="A1509" s="1">
        <f>HYPERLINK("https://cms.ls-nyc.org/matter/dynamic-profile/view/1899245","19-1899245")</f>
        <v>0</v>
      </c>
      <c r="B1509" t="s">
        <v>80</v>
      </c>
      <c r="C1509" t="s">
        <v>83</v>
      </c>
      <c r="D1509" t="s">
        <v>161</v>
      </c>
      <c r="F1509" t="s">
        <v>862</v>
      </c>
      <c r="G1509" t="s">
        <v>2433</v>
      </c>
      <c r="H1509" t="s">
        <v>3410</v>
      </c>
      <c r="I1509" t="s">
        <v>3902</v>
      </c>
      <c r="J1509" t="s">
        <v>4222</v>
      </c>
      <c r="K1509">
        <v>11434</v>
      </c>
      <c r="L1509" t="s">
        <v>4275</v>
      </c>
      <c r="M1509" t="s">
        <v>4277</v>
      </c>
      <c r="N1509" t="s">
        <v>4279</v>
      </c>
      <c r="O1509" t="s">
        <v>4281</v>
      </c>
      <c r="P1509" t="s">
        <v>5648</v>
      </c>
      <c r="Q1509" t="s">
        <v>5731</v>
      </c>
      <c r="R1509" t="s">
        <v>5751</v>
      </c>
      <c r="T1509" t="s">
        <v>4276</v>
      </c>
      <c r="V1509" t="s">
        <v>5767</v>
      </c>
      <c r="X1509" t="s">
        <v>161</v>
      </c>
      <c r="Y1509">
        <v>1300</v>
      </c>
      <c r="Z1509" t="s">
        <v>5803</v>
      </c>
      <c r="AA1509" t="s">
        <v>5804</v>
      </c>
      <c r="AC1509" t="s">
        <v>7201</v>
      </c>
      <c r="AD1509" t="s">
        <v>7823</v>
      </c>
      <c r="AE1509" t="s">
        <v>9185</v>
      </c>
      <c r="AF1509">
        <v>4</v>
      </c>
      <c r="AG1509" t="s">
        <v>9270</v>
      </c>
      <c r="AH1509" t="s">
        <v>9288</v>
      </c>
      <c r="AI1509">
        <v>3</v>
      </c>
      <c r="AJ1509">
        <v>1</v>
      </c>
      <c r="AK1509">
        <v>1</v>
      </c>
      <c r="AL1509">
        <v>55.35</v>
      </c>
      <c r="AO1509" t="s">
        <v>1425</v>
      </c>
      <c r="AP1509">
        <v>9360</v>
      </c>
      <c r="AV1509">
        <v>2</v>
      </c>
      <c r="AW1509" t="s">
        <v>54</v>
      </c>
    </row>
    <row r="1510" spans="1:49">
      <c r="A1510" s="1">
        <f>HYPERLINK("https://cms.ls-nyc.org/matter/dynamic-profile/view/1893853","19-1893853")</f>
        <v>0</v>
      </c>
      <c r="B1510" t="s">
        <v>80</v>
      </c>
      <c r="C1510" t="s">
        <v>83</v>
      </c>
      <c r="D1510" t="s">
        <v>179</v>
      </c>
      <c r="F1510" t="s">
        <v>497</v>
      </c>
      <c r="G1510" t="s">
        <v>1462</v>
      </c>
      <c r="H1510" t="s">
        <v>3769</v>
      </c>
      <c r="J1510" t="s">
        <v>4237</v>
      </c>
      <c r="K1510">
        <v>11356</v>
      </c>
      <c r="L1510" t="s">
        <v>4275</v>
      </c>
      <c r="M1510" t="s">
        <v>4275</v>
      </c>
      <c r="O1510" t="s">
        <v>4282</v>
      </c>
      <c r="P1510" t="s">
        <v>5649</v>
      </c>
      <c r="Q1510" t="s">
        <v>5731</v>
      </c>
      <c r="R1510" t="s">
        <v>5752</v>
      </c>
      <c r="V1510" t="s">
        <v>5767</v>
      </c>
      <c r="X1510" t="s">
        <v>179</v>
      </c>
      <c r="Y1510">
        <v>2309</v>
      </c>
      <c r="Z1510" t="s">
        <v>5803</v>
      </c>
      <c r="AA1510" t="s">
        <v>5804</v>
      </c>
      <c r="AC1510" t="s">
        <v>7202</v>
      </c>
      <c r="AE1510" t="s">
        <v>9186</v>
      </c>
      <c r="AF1510">
        <v>0</v>
      </c>
      <c r="AG1510" t="s">
        <v>9269</v>
      </c>
      <c r="AI1510">
        <v>0</v>
      </c>
      <c r="AJ1510">
        <v>1</v>
      </c>
      <c r="AK1510">
        <v>3</v>
      </c>
      <c r="AL1510">
        <v>58.25</v>
      </c>
      <c r="AO1510" t="s">
        <v>1425</v>
      </c>
      <c r="AP1510">
        <v>15000</v>
      </c>
      <c r="AV1510">
        <v>1.25</v>
      </c>
      <c r="AW1510" t="s">
        <v>9547</v>
      </c>
    </row>
    <row r="1511" spans="1:49">
      <c r="A1511" s="1">
        <f>HYPERLINK("https://cms.ls-nyc.org/matter/dynamic-profile/view/1890258","19-1890258")</f>
        <v>0</v>
      </c>
      <c r="B1511" t="s">
        <v>80</v>
      </c>
      <c r="C1511" t="s">
        <v>83</v>
      </c>
      <c r="D1511" t="s">
        <v>127</v>
      </c>
      <c r="F1511" t="s">
        <v>604</v>
      </c>
      <c r="G1511" t="s">
        <v>2434</v>
      </c>
      <c r="H1511" t="s">
        <v>3770</v>
      </c>
      <c r="J1511" t="s">
        <v>4222</v>
      </c>
      <c r="K1511">
        <v>11433</v>
      </c>
      <c r="L1511" t="s">
        <v>4275</v>
      </c>
      <c r="M1511" t="s">
        <v>4275</v>
      </c>
      <c r="O1511" t="s">
        <v>4281</v>
      </c>
      <c r="P1511" t="s">
        <v>5650</v>
      </c>
      <c r="Q1511" t="s">
        <v>5732</v>
      </c>
      <c r="R1511" t="s">
        <v>5751</v>
      </c>
      <c r="T1511" t="s">
        <v>4276</v>
      </c>
      <c r="V1511" t="s">
        <v>5767</v>
      </c>
      <c r="W1511" t="s">
        <v>5772</v>
      </c>
      <c r="X1511" t="s">
        <v>127</v>
      </c>
      <c r="Y1511">
        <v>2000</v>
      </c>
      <c r="Z1511" t="s">
        <v>5803</v>
      </c>
      <c r="AA1511" t="s">
        <v>5805</v>
      </c>
      <c r="AC1511" t="s">
        <v>7203</v>
      </c>
      <c r="AE1511" t="s">
        <v>9187</v>
      </c>
      <c r="AF1511">
        <v>0</v>
      </c>
      <c r="AG1511" t="s">
        <v>9270</v>
      </c>
      <c r="AH1511" t="s">
        <v>4280</v>
      </c>
      <c r="AI1511">
        <v>-1</v>
      </c>
      <c r="AJ1511">
        <v>2</v>
      </c>
      <c r="AK1511">
        <v>4</v>
      </c>
      <c r="AL1511">
        <v>59.38</v>
      </c>
      <c r="AO1511" t="s">
        <v>9298</v>
      </c>
      <c r="AP1511">
        <v>20540</v>
      </c>
      <c r="AV1511">
        <v>2.4</v>
      </c>
      <c r="AW1511" t="s">
        <v>54</v>
      </c>
    </row>
    <row r="1512" spans="1:49">
      <c r="A1512" s="1">
        <f>HYPERLINK("https://cms.ls-nyc.org/matter/dynamic-profile/view/1901153","19-1901153")</f>
        <v>0</v>
      </c>
      <c r="B1512" t="s">
        <v>80</v>
      </c>
      <c r="C1512" t="s">
        <v>82</v>
      </c>
      <c r="D1512" t="s">
        <v>90</v>
      </c>
      <c r="E1512" t="s">
        <v>289</v>
      </c>
      <c r="F1512" t="s">
        <v>483</v>
      </c>
      <c r="G1512" t="s">
        <v>1852</v>
      </c>
      <c r="H1512" t="s">
        <v>3771</v>
      </c>
      <c r="I1512" t="s">
        <v>4207</v>
      </c>
      <c r="J1512" t="s">
        <v>4254</v>
      </c>
      <c r="K1512">
        <v>11692</v>
      </c>
      <c r="L1512" t="s">
        <v>4275</v>
      </c>
      <c r="M1512" t="s">
        <v>4277</v>
      </c>
      <c r="N1512" t="s">
        <v>4278</v>
      </c>
      <c r="O1512" t="s">
        <v>4283</v>
      </c>
      <c r="P1512" t="s">
        <v>5651</v>
      </c>
      <c r="Q1512" t="s">
        <v>5731</v>
      </c>
      <c r="R1512" t="s">
        <v>5751</v>
      </c>
      <c r="S1512" t="s">
        <v>5758</v>
      </c>
      <c r="T1512" t="s">
        <v>4275</v>
      </c>
      <c r="V1512" t="s">
        <v>5767</v>
      </c>
      <c r="X1512" t="s">
        <v>90</v>
      </c>
      <c r="Y1512">
        <v>519</v>
      </c>
      <c r="Z1512" t="s">
        <v>5803</v>
      </c>
      <c r="AA1512" t="s">
        <v>5804</v>
      </c>
      <c r="AB1512" t="s">
        <v>5820</v>
      </c>
      <c r="AC1512" t="s">
        <v>7204</v>
      </c>
      <c r="AD1512" t="s">
        <v>7824</v>
      </c>
      <c r="AE1512" t="s">
        <v>9188</v>
      </c>
      <c r="AF1512">
        <v>18</v>
      </c>
      <c r="AH1512" t="s">
        <v>9282</v>
      </c>
      <c r="AI1512">
        <v>2</v>
      </c>
      <c r="AJ1512">
        <v>2</v>
      </c>
      <c r="AK1512">
        <v>0</v>
      </c>
      <c r="AL1512">
        <v>63.87</v>
      </c>
      <c r="AO1512" t="s">
        <v>1425</v>
      </c>
      <c r="AP1512">
        <v>10800</v>
      </c>
      <c r="AR1512" t="s">
        <v>9326</v>
      </c>
      <c r="AS1512" t="s">
        <v>9336</v>
      </c>
      <c r="AT1512" t="s">
        <v>9369</v>
      </c>
      <c r="AU1512" t="s">
        <v>9543</v>
      </c>
      <c r="AV1512">
        <v>11.1</v>
      </c>
      <c r="AW1512" t="s">
        <v>9547</v>
      </c>
    </row>
    <row r="1513" spans="1:49">
      <c r="A1513" s="1">
        <f>HYPERLINK("https://cms.ls-nyc.org/matter/dynamic-profile/view/1893835","19-1893835")</f>
        <v>0</v>
      </c>
      <c r="B1513" t="s">
        <v>80</v>
      </c>
      <c r="C1513" t="s">
        <v>83</v>
      </c>
      <c r="D1513" t="s">
        <v>179</v>
      </c>
      <c r="F1513" t="s">
        <v>845</v>
      </c>
      <c r="G1513" t="s">
        <v>1701</v>
      </c>
      <c r="H1513" t="s">
        <v>2608</v>
      </c>
      <c r="I1513" t="s">
        <v>4208</v>
      </c>
      <c r="J1513" t="s">
        <v>4241</v>
      </c>
      <c r="K1513">
        <v>11368</v>
      </c>
      <c r="L1513" t="s">
        <v>4275</v>
      </c>
      <c r="M1513" t="s">
        <v>4275</v>
      </c>
      <c r="O1513" t="s">
        <v>4282</v>
      </c>
      <c r="P1513" t="s">
        <v>5652</v>
      </c>
      <c r="Q1513" t="s">
        <v>5731</v>
      </c>
      <c r="R1513" t="s">
        <v>5752</v>
      </c>
      <c r="T1513" t="s">
        <v>4275</v>
      </c>
      <c r="V1513" t="s">
        <v>5767</v>
      </c>
      <c r="X1513" t="s">
        <v>179</v>
      </c>
      <c r="Y1513">
        <v>2430</v>
      </c>
      <c r="Z1513" t="s">
        <v>5803</v>
      </c>
      <c r="AA1513" t="s">
        <v>5804</v>
      </c>
      <c r="AC1513" t="s">
        <v>7205</v>
      </c>
      <c r="AE1513" t="s">
        <v>9189</v>
      </c>
      <c r="AF1513">
        <v>50</v>
      </c>
      <c r="AG1513" t="s">
        <v>9270</v>
      </c>
      <c r="AH1513" t="s">
        <v>5806</v>
      </c>
      <c r="AI1513">
        <v>3</v>
      </c>
      <c r="AJ1513">
        <v>2</v>
      </c>
      <c r="AK1513">
        <v>1</v>
      </c>
      <c r="AL1513">
        <v>67.51000000000001</v>
      </c>
      <c r="AO1513" t="s">
        <v>1425</v>
      </c>
      <c r="AP1513">
        <v>14400</v>
      </c>
      <c r="AV1513">
        <v>1.2</v>
      </c>
      <c r="AW1513" t="s">
        <v>9547</v>
      </c>
    </row>
    <row r="1514" spans="1:49">
      <c r="A1514" s="1">
        <f>HYPERLINK("https://cms.ls-nyc.org/matter/dynamic-profile/view/1882954","18-1882954")</f>
        <v>0</v>
      </c>
      <c r="B1514" t="s">
        <v>80</v>
      </c>
      <c r="C1514" t="s">
        <v>82</v>
      </c>
      <c r="D1514" t="s">
        <v>223</v>
      </c>
      <c r="E1514" t="s">
        <v>139</v>
      </c>
      <c r="F1514" t="s">
        <v>1325</v>
      </c>
      <c r="G1514" t="s">
        <v>2435</v>
      </c>
      <c r="H1514" t="s">
        <v>3772</v>
      </c>
      <c r="I1514" t="s">
        <v>3870</v>
      </c>
      <c r="J1514" t="s">
        <v>4250</v>
      </c>
      <c r="K1514">
        <v>11412</v>
      </c>
      <c r="L1514" t="s">
        <v>4275</v>
      </c>
      <c r="M1514" t="s">
        <v>4275</v>
      </c>
      <c r="O1514" t="s">
        <v>4282</v>
      </c>
      <c r="P1514" t="s">
        <v>5653</v>
      </c>
      <c r="Q1514" t="s">
        <v>5732</v>
      </c>
      <c r="R1514" t="s">
        <v>5753</v>
      </c>
      <c r="S1514" t="s">
        <v>5759</v>
      </c>
      <c r="T1514" t="s">
        <v>4276</v>
      </c>
      <c r="V1514" t="s">
        <v>5767</v>
      </c>
      <c r="W1514" t="s">
        <v>5776</v>
      </c>
      <c r="X1514" t="s">
        <v>5802</v>
      </c>
      <c r="Y1514">
        <v>1473</v>
      </c>
      <c r="Z1514" t="s">
        <v>5803</v>
      </c>
      <c r="AA1514" t="s">
        <v>5804</v>
      </c>
      <c r="AB1514" t="s">
        <v>5821</v>
      </c>
      <c r="AC1514" t="s">
        <v>6833</v>
      </c>
      <c r="AE1514" t="s">
        <v>9190</v>
      </c>
      <c r="AF1514">
        <v>2</v>
      </c>
      <c r="AG1514" t="s">
        <v>9270</v>
      </c>
      <c r="AH1514" t="s">
        <v>9282</v>
      </c>
      <c r="AI1514">
        <v>3</v>
      </c>
      <c r="AJ1514">
        <v>1</v>
      </c>
      <c r="AK1514">
        <v>0</v>
      </c>
      <c r="AL1514">
        <v>69.19</v>
      </c>
      <c r="AO1514" t="s">
        <v>1425</v>
      </c>
      <c r="AP1514">
        <v>8400</v>
      </c>
      <c r="AV1514">
        <v>1.7</v>
      </c>
      <c r="AW1514" t="s">
        <v>54</v>
      </c>
    </row>
    <row r="1515" spans="1:49">
      <c r="A1515" s="1">
        <f>HYPERLINK("https://cms.ls-nyc.org/matter/dynamic-profile/view/1897850","19-1897850")</f>
        <v>0</v>
      </c>
      <c r="B1515" t="s">
        <v>80</v>
      </c>
      <c r="C1515" t="s">
        <v>83</v>
      </c>
      <c r="D1515" t="s">
        <v>205</v>
      </c>
      <c r="F1515" t="s">
        <v>1326</v>
      </c>
      <c r="G1515" t="s">
        <v>2436</v>
      </c>
      <c r="H1515" t="s">
        <v>3773</v>
      </c>
      <c r="I1515">
        <v>85</v>
      </c>
      <c r="J1515" t="s">
        <v>4241</v>
      </c>
      <c r="K1515">
        <v>11368</v>
      </c>
      <c r="L1515" t="s">
        <v>4275</v>
      </c>
      <c r="M1515" t="s">
        <v>4275</v>
      </c>
      <c r="O1515" t="s">
        <v>4282</v>
      </c>
      <c r="P1515" t="s">
        <v>5654</v>
      </c>
      <c r="Q1515" t="s">
        <v>5731</v>
      </c>
      <c r="R1515" t="s">
        <v>5753</v>
      </c>
      <c r="T1515" t="s">
        <v>4276</v>
      </c>
      <c r="V1515" t="s">
        <v>5767</v>
      </c>
      <c r="W1515" t="s">
        <v>5772</v>
      </c>
      <c r="X1515" t="s">
        <v>205</v>
      </c>
      <c r="Y1515">
        <v>1825</v>
      </c>
      <c r="Z1515" t="s">
        <v>5803</v>
      </c>
      <c r="AA1515" t="s">
        <v>5804</v>
      </c>
      <c r="AC1515" t="s">
        <v>7206</v>
      </c>
      <c r="AE1515" t="s">
        <v>9191</v>
      </c>
      <c r="AF1515">
        <v>236</v>
      </c>
      <c r="AG1515" t="s">
        <v>9272</v>
      </c>
      <c r="AI1515">
        <v>4</v>
      </c>
      <c r="AJ1515">
        <v>2</v>
      </c>
      <c r="AK1515">
        <v>2</v>
      </c>
      <c r="AL1515">
        <v>69.90000000000001</v>
      </c>
      <c r="AO1515" t="s">
        <v>9301</v>
      </c>
      <c r="AP1515">
        <v>18000</v>
      </c>
      <c r="AV1515">
        <v>3.1</v>
      </c>
      <c r="AW1515" t="s">
        <v>80</v>
      </c>
    </row>
    <row r="1516" spans="1:49">
      <c r="A1516" s="1">
        <f>HYPERLINK("https://cms.ls-nyc.org/matter/dynamic-profile/view/1895790","19-1895790")</f>
        <v>0</v>
      </c>
      <c r="B1516" t="s">
        <v>80</v>
      </c>
      <c r="C1516" t="s">
        <v>83</v>
      </c>
      <c r="D1516" t="s">
        <v>94</v>
      </c>
      <c r="F1516" t="s">
        <v>1327</v>
      </c>
      <c r="G1516" t="s">
        <v>1589</v>
      </c>
      <c r="H1516" t="s">
        <v>3774</v>
      </c>
      <c r="I1516">
        <v>3</v>
      </c>
      <c r="J1516" t="s">
        <v>4223</v>
      </c>
      <c r="K1516">
        <v>11423</v>
      </c>
      <c r="L1516" t="s">
        <v>4275</v>
      </c>
      <c r="M1516" t="s">
        <v>4275</v>
      </c>
      <c r="O1516" t="s">
        <v>4282</v>
      </c>
      <c r="P1516" t="s">
        <v>5655</v>
      </c>
      <c r="Q1516" t="s">
        <v>5732</v>
      </c>
      <c r="R1516" t="s">
        <v>5752</v>
      </c>
      <c r="T1516" t="s">
        <v>4276</v>
      </c>
      <c r="V1516" t="s">
        <v>5767</v>
      </c>
      <c r="X1516" t="s">
        <v>94</v>
      </c>
      <c r="Y1516">
        <v>800</v>
      </c>
      <c r="Z1516" t="s">
        <v>5803</v>
      </c>
      <c r="AC1516" t="s">
        <v>7207</v>
      </c>
      <c r="AD1516" t="s">
        <v>7825</v>
      </c>
      <c r="AE1516" t="s">
        <v>9192</v>
      </c>
      <c r="AF1516">
        <v>0</v>
      </c>
      <c r="AG1516" t="s">
        <v>9270</v>
      </c>
      <c r="AH1516" t="s">
        <v>9284</v>
      </c>
      <c r="AI1516">
        <v>2</v>
      </c>
      <c r="AJ1516">
        <v>1</v>
      </c>
      <c r="AK1516">
        <v>0</v>
      </c>
      <c r="AL1516">
        <v>70.42</v>
      </c>
      <c r="AO1516" t="s">
        <v>1425</v>
      </c>
      <c r="AP1516">
        <v>8796</v>
      </c>
      <c r="AV1516">
        <v>2.5</v>
      </c>
      <c r="AW1516" t="s">
        <v>54</v>
      </c>
    </row>
    <row r="1517" spans="1:49">
      <c r="A1517" s="1">
        <f>HYPERLINK("https://cms.ls-nyc.org/matter/dynamic-profile/view/1876311","18-1876311")</f>
        <v>0</v>
      </c>
      <c r="B1517" t="s">
        <v>80</v>
      </c>
      <c r="C1517" t="s">
        <v>82</v>
      </c>
      <c r="D1517" t="s">
        <v>194</v>
      </c>
      <c r="E1517" t="s">
        <v>250</v>
      </c>
      <c r="F1517" t="s">
        <v>1328</v>
      </c>
      <c r="G1517" t="s">
        <v>473</v>
      </c>
      <c r="H1517" t="s">
        <v>3775</v>
      </c>
      <c r="I1517" t="s">
        <v>3950</v>
      </c>
      <c r="J1517" t="s">
        <v>4222</v>
      </c>
      <c r="K1517">
        <v>11434</v>
      </c>
      <c r="L1517" t="s">
        <v>4275</v>
      </c>
      <c r="M1517" t="s">
        <v>4275</v>
      </c>
      <c r="N1517" t="s">
        <v>4278</v>
      </c>
      <c r="O1517" t="s">
        <v>4281</v>
      </c>
      <c r="P1517" t="s">
        <v>5656</v>
      </c>
      <c r="Q1517" t="s">
        <v>5731</v>
      </c>
      <c r="R1517" t="s">
        <v>5751</v>
      </c>
      <c r="S1517" t="s">
        <v>5758</v>
      </c>
      <c r="T1517" t="s">
        <v>4276</v>
      </c>
      <c r="V1517" t="s">
        <v>5767</v>
      </c>
      <c r="W1517" t="s">
        <v>5772</v>
      </c>
      <c r="X1517" t="s">
        <v>194</v>
      </c>
      <c r="Y1517">
        <v>1800</v>
      </c>
      <c r="Z1517" t="s">
        <v>5803</v>
      </c>
      <c r="AA1517" t="s">
        <v>5804</v>
      </c>
      <c r="AB1517" t="s">
        <v>5822</v>
      </c>
      <c r="AC1517" t="s">
        <v>7208</v>
      </c>
      <c r="AE1517" t="s">
        <v>9193</v>
      </c>
      <c r="AF1517">
        <v>2</v>
      </c>
      <c r="AG1517" t="s">
        <v>9269</v>
      </c>
      <c r="AH1517" t="s">
        <v>4280</v>
      </c>
      <c r="AI1517">
        <v>1</v>
      </c>
      <c r="AJ1517">
        <v>1</v>
      </c>
      <c r="AK1517">
        <v>2</v>
      </c>
      <c r="AL1517">
        <v>72.18000000000001</v>
      </c>
      <c r="AO1517" t="s">
        <v>1425</v>
      </c>
      <c r="AP1517">
        <v>15000</v>
      </c>
      <c r="AR1517" t="s">
        <v>9326</v>
      </c>
      <c r="AS1517" t="s">
        <v>5806</v>
      </c>
      <c r="AT1517" t="s">
        <v>9370</v>
      </c>
      <c r="AU1517" t="s">
        <v>9412</v>
      </c>
      <c r="AV1517">
        <v>23.5</v>
      </c>
      <c r="AW1517" t="s">
        <v>54</v>
      </c>
    </row>
    <row r="1518" spans="1:49">
      <c r="A1518" s="1">
        <f>HYPERLINK("https://cms.ls-nyc.org/matter/dynamic-profile/view/1896471","19-1896471")</f>
        <v>0</v>
      </c>
      <c r="B1518" t="s">
        <v>80</v>
      </c>
      <c r="C1518" t="s">
        <v>83</v>
      </c>
      <c r="D1518" t="s">
        <v>248</v>
      </c>
      <c r="F1518" t="s">
        <v>319</v>
      </c>
      <c r="G1518" t="s">
        <v>2437</v>
      </c>
      <c r="H1518" t="s">
        <v>3776</v>
      </c>
      <c r="I1518" t="s">
        <v>3949</v>
      </c>
      <c r="J1518" t="s">
        <v>4227</v>
      </c>
      <c r="K1518">
        <v>11365</v>
      </c>
      <c r="L1518" t="s">
        <v>4275</v>
      </c>
      <c r="M1518" t="s">
        <v>4275</v>
      </c>
      <c r="O1518" t="s">
        <v>4282</v>
      </c>
      <c r="P1518" t="s">
        <v>5657</v>
      </c>
      <c r="Q1518" t="s">
        <v>5731</v>
      </c>
      <c r="R1518" t="s">
        <v>5753</v>
      </c>
      <c r="T1518" t="s">
        <v>4276</v>
      </c>
      <c r="V1518" t="s">
        <v>5767</v>
      </c>
      <c r="X1518" t="s">
        <v>248</v>
      </c>
      <c r="Y1518">
        <v>1010</v>
      </c>
      <c r="Z1518" t="s">
        <v>5803</v>
      </c>
      <c r="AA1518" t="s">
        <v>5804</v>
      </c>
      <c r="AC1518" t="s">
        <v>5940</v>
      </c>
      <c r="AD1518" t="s">
        <v>7826</v>
      </c>
      <c r="AE1518" t="s">
        <v>9194</v>
      </c>
      <c r="AF1518">
        <v>0</v>
      </c>
      <c r="AG1518" t="s">
        <v>9275</v>
      </c>
      <c r="AH1518" t="s">
        <v>4280</v>
      </c>
      <c r="AI1518">
        <v>54</v>
      </c>
      <c r="AJ1518">
        <v>1</v>
      </c>
      <c r="AK1518">
        <v>0</v>
      </c>
      <c r="AL1518">
        <v>76.86</v>
      </c>
      <c r="AO1518" t="s">
        <v>1425</v>
      </c>
      <c r="AP1518">
        <v>9600</v>
      </c>
      <c r="AV1518">
        <v>2</v>
      </c>
      <c r="AW1518" t="s">
        <v>54</v>
      </c>
    </row>
    <row r="1519" spans="1:49">
      <c r="A1519" s="1">
        <f>HYPERLINK("https://cms.ls-nyc.org/matter/dynamic-profile/view/1892682","19-1892682")</f>
        <v>0</v>
      </c>
      <c r="B1519" t="s">
        <v>80</v>
      </c>
      <c r="C1519" t="s">
        <v>83</v>
      </c>
      <c r="D1519" t="s">
        <v>134</v>
      </c>
      <c r="F1519" t="s">
        <v>1329</v>
      </c>
      <c r="G1519" t="s">
        <v>1604</v>
      </c>
      <c r="H1519" t="s">
        <v>3777</v>
      </c>
      <c r="I1519" t="s">
        <v>3867</v>
      </c>
      <c r="J1519" t="s">
        <v>4253</v>
      </c>
      <c r="K1519">
        <v>11422</v>
      </c>
      <c r="L1519" t="s">
        <v>4275</v>
      </c>
      <c r="M1519" t="s">
        <v>4275</v>
      </c>
      <c r="O1519" t="s">
        <v>4282</v>
      </c>
      <c r="P1519" t="s">
        <v>5658</v>
      </c>
      <c r="Q1519" t="s">
        <v>5732</v>
      </c>
      <c r="R1519" t="s">
        <v>5752</v>
      </c>
      <c r="T1519" t="s">
        <v>4276</v>
      </c>
      <c r="V1519" t="s">
        <v>5767</v>
      </c>
      <c r="X1519" t="s">
        <v>134</v>
      </c>
      <c r="Y1519">
        <v>1717.33</v>
      </c>
      <c r="Z1519" t="s">
        <v>5803</v>
      </c>
      <c r="AA1519" t="s">
        <v>5804</v>
      </c>
      <c r="AC1519" t="s">
        <v>7209</v>
      </c>
      <c r="AD1519" t="s">
        <v>7827</v>
      </c>
      <c r="AE1519" t="s">
        <v>9195</v>
      </c>
      <c r="AF1519">
        <v>0</v>
      </c>
      <c r="AG1519" t="s">
        <v>9270</v>
      </c>
      <c r="AH1519" t="s">
        <v>9282</v>
      </c>
      <c r="AI1519">
        <v>9</v>
      </c>
      <c r="AJ1519">
        <v>2</v>
      </c>
      <c r="AK1519">
        <v>4</v>
      </c>
      <c r="AL1519">
        <v>79.68000000000001</v>
      </c>
      <c r="AO1519" t="s">
        <v>1425</v>
      </c>
      <c r="AP1519">
        <v>27560</v>
      </c>
      <c r="AV1519">
        <v>1.8</v>
      </c>
      <c r="AW1519" t="s">
        <v>54</v>
      </c>
    </row>
    <row r="1520" spans="1:49">
      <c r="A1520" s="1">
        <f>HYPERLINK("https://cms.ls-nyc.org/matter/dynamic-profile/view/1897874","19-1897874")</f>
        <v>0</v>
      </c>
      <c r="B1520" t="s">
        <v>80</v>
      </c>
      <c r="C1520" t="s">
        <v>83</v>
      </c>
      <c r="D1520" t="s">
        <v>205</v>
      </c>
      <c r="F1520" t="s">
        <v>1330</v>
      </c>
      <c r="G1520" t="s">
        <v>1516</v>
      </c>
      <c r="H1520" t="s">
        <v>3778</v>
      </c>
      <c r="I1520" t="s">
        <v>4209</v>
      </c>
      <c r="J1520" t="s">
        <v>4255</v>
      </c>
      <c r="K1520">
        <v>11372</v>
      </c>
      <c r="L1520" t="s">
        <v>4275</v>
      </c>
      <c r="M1520" t="s">
        <v>4275</v>
      </c>
      <c r="O1520" t="s">
        <v>4282</v>
      </c>
      <c r="P1520" t="s">
        <v>5659</v>
      </c>
      <c r="Q1520" t="s">
        <v>5731</v>
      </c>
      <c r="R1520" t="s">
        <v>5753</v>
      </c>
      <c r="T1520" t="s">
        <v>4276</v>
      </c>
      <c r="V1520" t="s">
        <v>5767</v>
      </c>
      <c r="W1520" t="s">
        <v>5772</v>
      </c>
      <c r="X1520" t="s">
        <v>205</v>
      </c>
      <c r="Y1520">
        <v>1296</v>
      </c>
      <c r="Z1520" t="s">
        <v>5803</v>
      </c>
      <c r="AA1520" t="s">
        <v>5804</v>
      </c>
      <c r="AC1520" t="s">
        <v>7210</v>
      </c>
      <c r="AE1520" t="s">
        <v>9196</v>
      </c>
      <c r="AF1520">
        <v>39</v>
      </c>
      <c r="AG1520" t="s">
        <v>9272</v>
      </c>
      <c r="AH1520" t="s">
        <v>9287</v>
      </c>
      <c r="AI1520">
        <v>15</v>
      </c>
      <c r="AJ1520">
        <v>1</v>
      </c>
      <c r="AK1520">
        <v>0</v>
      </c>
      <c r="AL1520">
        <v>82.72</v>
      </c>
      <c r="AO1520" t="s">
        <v>9298</v>
      </c>
      <c r="AP1520">
        <v>10332</v>
      </c>
      <c r="AV1520">
        <v>4.2</v>
      </c>
      <c r="AW1520" t="s">
        <v>80</v>
      </c>
    </row>
    <row r="1521" spans="1:49">
      <c r="A1521" s="1">
        <f>HYPERLINK("https://cms.ls-nyc.org/matter/dynamic-profile/view/1895238","19-1895238")</f>
        <v>0</v>
      </c>
      <c r="B1521" t="s">
        <v>80</v>
      </c>
      <c r="C1521" t="s">
        <v>83</v>
      </c>
      <c r="D1521" t="s">
        <v>218</v>
      </c>
      <c r="F1521" t="s">
        <v>1331</v>
      </c>
      <c r="G1521" t="s">
        <v>2438</v>
      </c>
      <c r="H1521" t="s">
        <v>3779</v>
      </c>
      <c r="I1521" t="s">
        <v>4125</v>
      </c>
      <c r="J1521" t="s">
        <v>4235</v>
      </c>
      <c r="K1521">
        <v>11421</v>
      </c>
      <c r="L1521" t="s">
        <v>4275</v>
      </c>
      <c r="M1521" t="s">
        <v>4275</v>
      </c>
      <c r="O1521" t="s">
        <v>4282</v>
      </c>
      <c r="P1521" t="s">
        <v>5660</v>
      </c>
      <c r="Q1521" t="s">
        <v>5732</v>
      </c>
      <c r="R1521" t="s">
        <v>5754</v>
      </c>
      <c r="T1521" t="s">
        <v>4276</v>
      </c>
      <c r="V1521" t="s">
        <v>5767</v>
      </c>
      <c r="X1521" t="s">
        <v>218</v>
      </c>
      <c r="Y1521">
        <v>800</v>
      </c>
      <c r="Z1521" t="s">
        <v>5803</v>
      </c>
      <c r="AA1521" t="s">
        <v>5804</v>
      </c>
      <c r="AC1521" t="s">
        <v>7211</v>
      </c>
      <c r="AE1521" t="s">
        <v>9197</v>
      </c>
      <c r="AF1521">
        <v>0</v>
      </c>
      <c r="AI1521">
        <v>1</v>
      </c>
      <c r="AJ1521">
        <v>1</v>
      </c>
      <c r="AK1521">
        <v>2</v>
      </c>
      <c r="AL1521">
        <v>84.39</v>
      </c>
      <c r="AO1521" t="s">
        <v>9298</v>
      </c>
      <c r="AP1521">
        <v>18000</v>
      </c>
      <c r="AV1521">
        <v>1</v>
      </c>
      <c r="AW1521" t="s">
        <v>9547</v>
      </c>
    </row>
    <row r="1522" spans="1:49">
      <c r="A1522" s="1">
        <f>HYPERLINK("https://cms.ls-nyc.org/matter/dynamic-profile/view/1890287","19-1890287")</f>
        <v>0</v>
      </c>
      <c r="B1522" t="s">
        <v>80</v>
      </c>
      <c r="C1522" t="s">
        <v>83</v>
      </c>
      <c r="D1522" t="s">
        <v>127</v>
      </c>
      <c r="F1522" t="s">
        <v>1332</v>
      </c>
      <c r="G1522" t="s">
        <v>2439</v>
      </c>
      <c r="H1522" t="s">
        <v>3780</v>
      </c>
      <c r="I1522" t="s">
        <v>4210</v>
      </c>
      <c r="J1522" t="s">
        <v>4243</v>
      </c>
      <c r="K1522">
        <v>11691</v>
      </c>
      <c r="L1522" t="s">
        <v>4275</v>
      </c>
      <c r="M1522" t="s">
        <v>4277</v>
      </c>
      <c r="O1522" t="s">
        <v>4282</v>
      </c>
      <c r="P1522" t="s">
        <v>5661</v>
      </c>
      <c r="Q1522" t="s">
        <v>5731</v>
      </c>
      <c r="R1522" t="s">
        <v>5751</v>
      </c>
      <c r="V1522" t="s">
        <v>5767</v>
      </c>
      <c r="W1522" t="s">
        <v>5772</v>
      </c>
      <c r="X1522" t="s">
        <v>127</v>
      </c>
      <c r="Y1522">
        <v>118</v>
      </c>
      <c r="Z1522" t="s">
        <v>5803</v>
      </c>
      <c r="AA1522" t="s">
        <v>5804</v>
      </c>
      <c r="AC1522" t="s">
        <v>7212</v>
      </c>
      <c r="AD1522" t="s">
        <v>7828</v>
      </c>
      <c r="AE1522" t="s">
        <v>9198</v>
      </c>
      <c r="AF1522">
        <v>60</v>
      </c>
      <c r="AG1522" t="s">
        <v>9271</v>
      </c>
      <c r="AH1522" t="s">
        <v>4280</v>
      </c>
      <c r="AI1522">
        <v>4</v>
      </c>
      <c r="AJ1522">
        <v>1</v>
      </c>
      <c r="AK1522">
        <v>2</v>
      </c>
      <c r="AL1522">
        <v>90.01000000000001</v>
      </c>
      <c r="AO1522" t="s">
        <v>1425</v>
      </c>
      <c r="AP1522">
        <v>19200</v>
      </c>
      <c r="AV1522">
        <v>12.4</v>
      </c>
      <c r="AW1522" t="s">
        <v>74</v>
      </c>
    </row>
    <row r="1523" spans="1:49">
      <c r="A1523" s="1">
        <f>HYPERLINK("https://cms.ls-nyc.org/matter/dynamic-profile/view/1889956","19-1889956")</f>
        <v>0</v>
      </c>
      <c r="B1523" t="s">
        <v>80</v>
      </c>
      <c r="C1523" t="s">
        <v>83</v>
      </c>
      <c r="D1523" t="s">
        <v>175</v>
      </c>
      <c r="F1523" t="s">
        <v>468</v>
      </c>
      <c r="G1523" t="s">
        <v>2440</v>
      </c>
      <c r="H1523" t="s">
        <v>3781</v>
      </c>
      <c r="I1523" t="s">
        <v>3934</v>
      </c>
      <c r="J1523" t="s">
        <v>4251</v>
      </c>
      <c r="K1523">
        <v>11377</v>
      </c>
      <c r="L1523" t="s">
        <v>4275</v>
      </c>
      <c r="M1523" t="s">
        <v>4275</v>
      </c>
      <c r="O1523" t="s">
        <v>4282</v>
      </c>
      <c r="P1523" t="s">
        <v>5662</v>
      </c>
      <c r="Q1523" t="s">
        <v>5731</v>
      </c>
      <c r="R1523" t="s">
        <v>5753</v>
      </c>
      <c r="T1523" t="s">
        <v>4276</v>
      </c>
      <c r="V1523" t="s">
        <v>5767</v>
      </c>
      <c r="W1523" t="s">
        <v>5772</v>
      </c>
      <c r="X1523" t="s">
        <v>175</v>
      </c>
      <c r="Y1523">
        <v>687</v>
      </c>
      <c r="Z1523" t="s">
        <v>5803</v>
      </c>
      <c r="AA1523" t="s">
        <v>5804</v>
      </c>
      <c r="AC1523" t="s">
        <v>7213</v>
      </c>
      <c r="AE1523" t="s">
        <v>9199</v>
      </c>
      <c r="AF1523">
        <v>67</v>
      </c>
      <c r="AG1523" t="s">
        <v>9272</v>
      </c>
      <c r="AH1523" t="s">
        <v>4280</v>
      </c>
      <c r="AI1523">
        <v>18</v>
      </c>
      <c r="AJ1523">
        <v>1</v>
      </c>
      <c r="AK1523">
        <v>0</v>
      </c>
      <c r="AL1523">
        <v>90.41</v>
      </c>
      <c r="AO1523" t="s">
        <v>9298</v>
      </c>
      <c r="AP1523">
        <v>11292</v>
      </c>
      <c r="AV1523">
        <v>0.66</v>
      </c>
      <c r="AW1523" t="s">
        <v>73</v>
      </c>
    </row>
    <row r="1524" spans="1:49">
      <c r="A1524" s="1">
        <f>HYPERLINK("https://cms.ls-nyc.org/matter/dynamic-profile/view/1884382","18-1884382")</f>
        <v>0</v>
      </c>
      <c r="B1524" t="s">
        <v>80</v>
      </c>
      <c r="C1524" t="s">
        <v>83</v>
      </c>
      <c r="D1524" t="s">
        <v>286</v>
      </c>
      <c r="F1524" t="s">
        <v>1333</v>
      </c>
      <c r="G1524" t="s">
        <v>2441</v>
      </c>
      <c r="H1524" t="s">
        <v>3782</v>
      </c>
      <c r="I1524" t="s">
        <v>3839</v>
      </c>
      <c r="J1524" t="s">
        <v>4229</v>
      </c>
      <c r="K1524">
        <v>11355</v>
      </c>
      <c r="L1524" t="s">
        <v>4277</v>
      </c>
      <c r="M1524" t="s">
        <v>4277</v>
      </c>
      <c r="O1524" t="s">
        <v>4282</v>
      </c>
      <c r="V1524" t="s">
        <v>5767</v>
      </c>
      <c r="Y1524">
        <v>1800</v>
      </c>
      <c r="Z1524" t="s">
        <v>5803</v>
      </c>
      <c r="AA1524" t="s">
        <v>5807</v>
      </c>
      <c r="AC1524" t="s">
        <v>7214</v>
      </c>
      <c r="AE1524" t="s">
        <v>9200</v>
      </c>
      <c r="AF1524">
        <v>1</v>
      </c>
      <c r="AH1524" t="s">
        <v>4280</v>
      </c>
      <c r="AI1524">
        <v>9</v>
      </c>
      <c r="AJ1524">
        <v>1</v>
      </c>
      <c r="AK1524">
        <v>3</v>
      </c>
      <c r="AL1524">
        <v>95.62</v>
      </c>
      <c r="AO1524" t="s">
        <v>1425</v>
      </c>
      <c r="AP1524">
        <v>24000</v>
      </c>
      <c r="AV1524">
        <v>2.5</v>
      </c>
      <c r="AW1524" t="s">
        <v>9555</v>
      </c>
    </row>
    <row r="1525" spans="1:49">
      <c r="A1525" s="1">
        <f>HYPERLINK("https://cms.ls-nyc.org/matter/dynamic-profile/view/1897616","19-1897616")</f>
        <v>0</v>
      </c>
      <c r="B1525" t="s">
        <v>80</v>
      </c>
      <c r="C1525" t="s">
        <v>83</v>
      </c>
      <c r="D1525" t="s">
        <v>107</v>
      </c>
      <c r="F1525" t="s">
        <v>1334</v>
      </c>
      <c r="G1525" t="s">
        <v>1552</v>
      </c>
      <c r="H1525" t="s">
        <v>3783</v>
      </c>
      <c r="J1525" t="s">
        <v>4241</v>
      </c>
      <c r="K1525">
        <v>11368</v>
      </c>
      <c r="L1525" t="s">
        <v>4275</v>
      </c>
      <c r="M1525" t="s">
        <v>4275</v>
      </c>
      <c r="O1525" t="s">
        <v>4282</v>
      </c>
      <c r="P1525" t="s">
        <v>5663</v>
      </c>
      <c r="Q1525" t="s">
        <v>5732</v>
      </c>
      <c r="R1525" t="s">
        <v>5752</v>
      </c>
      <c r="T1525" t="s">
        <v>4276</v>
      </c>
      <c r="V1525" t="s">
        <v>5767</v>
      </c>
      <c r="X1525" t="s">
        <v>107</v>
      </c>
      <c r="Y1525">
        <v>950</v>
      </c>
      <c r="Z1525" t="s">
        <v>5803</v>
      </c>
      <c r="AA1525" t="s">
        <v>5808</v>
      </c>
      <c r="AC1525" t="s">
        <v>7215</v>
      </c>
      <c r="AE1525" t="s">
        <v>9201</v>
      </c>
      <c r="AF1525">
        <v>0</v>
      </c>
      <c r="AG1525" t="s">
        <v>9270</v>
      </c>
      <c r="AH1525" t="s">
        <v>4280</v>
      </c>
      <c r="AI1525">
        <v>4</v>
      </c>
      <c r="AJ1525">
        <v>2</v>
      </c>
      <c r="AK1525">
        <v>2</v>
      </c>
      <c r="AL1525">
        <v>97.13</v>
      </c>
      <c r="AO1525" t="s">
        <v>9298</v>
      </c>
      <c r="AP1525">
        <v>25012</v>
      </c>
      <c r="AV1525">
        <v>3</v>
      </c>
      <c r="AW1525" t="s">
        <v>54</v>
      </c>
    </row>
    <row r="1526" spans="1:49">
      <c r="A1526" s="1">
        <f>HYPERLINK("https://cms.ls-nyc.org/matter/dynamic-profile/view/1888330","19-1888330")</f>
        <v>0</v>
      </c>
      <c r="B1526" t="s">
        <v>80</v>
      </c>
      <c r="C1526" t="s">
        <v>83</v>
      </c>
      <c r="D1526" t="s">
        <v>135</v>
      </c>
      <c r="F1526" t="s">
        <v>1335</v>
      </c>
      <c r="G1526" t="s">
        <v>1021</v>
      </c>
      <c r="H1526" t="s">
        <v>3784</v>
      </c>
      <c r="I1526" t="s">
        <v>4211</v>
      </c>
      <c r="J1526" t="s">
        <v>4229</v>
      </c>
      <c r="K1526">
        <v>11367</v>
      </c>
      <c r="L1526" t="s">
        <v>4275</v>
      </c>
      <c r="M1526" t="s">
        <v>4275</v>
      </c>
      <c r="O1526" t="s">
        <v>4282</v>
      </c>
      <c r="P1526" t="s">
        <v>5664</v>
      </c>
      <c r="Q1526" t="s">
        <v>5731</v>
      </c>
      <c r="R1526" t="s">
        <v>5752</v>
      </c>
      <c r="T1526" t="s">
        <v>4276</v>
      </c>
      <c r="V1526" t="s">
        <v>5768</v>
      </c>
      <c r="Y1526">
        <v>487</v>
      </c>
      <c r="Z1526" t="s">
        <v>5803</v>
      </c>
      <c r="AA1526" t="s">
        <v>5804</v>
      </c>
      <c r="AC1526" t="s">
        <v>7216</v>
      </c>
      <c r="AD1526" t="s">
        <v>7829</v>
      </c>
      <c r="AE1526" t="s">
        <v>9202</v>
      </c>
      <c r="AF1526">
        <v>9</v>
      </c>
      <c r="AG1526" t="s">
        <v>9271</v>
      </c>
      <c r="AH1526" t="s">
        <v>4280</v>
      </c>
      <c r="AI1526">
        <v>20</v>
      </c>
      <c r="AJ1526">
        <v>1</v>
      </c>
      <c r="AK1526">
        <v>4</v>
      </c>
      <c r="AL1526">
        <v>101.97</v>
      </c>
      <c r="AO1526" t="s">
        <v>1425</v>
      </c>
      <c r="AP1526">
        <v>30000</v>
      </c>
      <c r="AV1526">
        <v>1.5</v>
      </c>
      <c r="AW1526" t="s">
        <v>54</v>
      </c>
    </row>
    <row r="1527" spans="1:49">
      <c r="A1527" s="1">
        <f>HYPERLINK("https://cms.ls-nyc.org/matter/dynamic-profile/view/1893847","19-1893847")</f>
        <v>0</v>
      </c>
      <c r="B1527" t="s">
        <v>80</v>
      </c>
      <c r="C1527" t="s">
        <v>83</v>
      </c>
      <c r="D1527" t="s">
        <v>179</v>
      </c>
      <c r="F1527" t="s">
        <v>401</v>
      </c>
      <c r="G1527" t="s">
        <v>989</v>
      </c>
      <c r="H1527" t="s">
        <v>3785</v>
      </c>
      <c r="J1527" t="s">
        <v>4235</v>
      </c>
      <c r="K1527">
        <v>11421</v>
      </c>
      <c r="L1527" t="s">
        <v>4275</v>
      </c>
      <c r="M1527" t="s">
        <v>4275</v>
      </c>
      <c r="O1527" t="s">
        <v>4282</v>
      </c>
      <c r="P1527" t="s">
        <v>5665</v>
      </c>
      <c r="Q1527" t="s">
        <v>5732</v>
      </c>
      <c r="R1527" t="s">
        <v>5752</v>
      </c>
      <c r="T1527" t="s">
        <v>4276</v>
      </c>
      <c r="V1527" t="s">
        <v>5767</v>
      </c>
      <c r="X1527" t="s">
        <v>179</v>
      </c>
      <c r="Y1527">
        <v>550</v>
      </c>
      <c r="Z1527" t="s">
        <v>5803</v>
      </c>
      <c r="AA1527" t="s">
        <v>5804</v>
      </c>
      <c r="AC1527" t="s">
        <v>7217</v>
      </c>
      <c r="AE1527" t="s">
        <v>9203</v>
      </c>
      <c r="AF1527">
        <v>0</v>
      </c>
      <c r="AI1527">
        <v>5</v>
      </c>
      <c r="AJ1527">
        <v>1</v>
      </c>
      <c r="AK1527">
        <v>0</v>
      </c>
      <c r="AL1527">
        <v>103.25</v>
      </c>
      <c r="AO1527" t="s">
        <v>1425</v>
      </c>
      <c r="AP1527">
        <v>12896</v>
      </c>
      <c r="AV1527">
        <v>1.1</v>
      </c>
      <c r="AW1527" t="s">
        <v>9547</v>
      </c>
    </row>
    <row r="1528" spans="1:49">
      <c r="A1528" s="1">
        <f>HYPERLINK("https://cms.ls-nyc.org/matter/dynamic-profile/view/1900057","19-1900057")</f>
        <v>0</v>
      </c>
      <c r="B1528" t="s">
        <v>80</v>
      </c>
      <c r="C1528" t="s">
        <v>83</v>
      </c>
      <c r="D1528" t="s">
        <v>99</v>
      </c>
      <c r="F1528" t="s">
        <v>381</v>
      </c>
      <c r="G1528" t="s">
        <v>2442</v>
      </c>
      <c r="H1528" t="s">
        <v>3580</v>
      </c>
      <c r="I1528" t="s">
        <v>3845</v>
      </c>
      <c r="J1528" t="s">
        <v>4240</v>
      </c>
      <c r="K1528">
        <v>11373</v>
      </c>
      <c r="L1528" t="s">
        <v>4275</v>
      </c>
      <c r="M1528" t="s">
        <v>4277</v>
      </c>
      <c r="N1528" t="s">
        <v>4278</v>
      </c>
      <c r="O1528" t="s">
        <v>4282</v>
      </c>
      <c r="P1528" t="s">
        <v>5666</v>
      </c>
      <c r="R1528" t="s">
        <v>5751</v>
      </c>
      <c r="T1528" t="s">
        <v>4276</v>
      </c>
      <c r="V1528" t="s">
        <v>5767</v>
      </c>
      <c r="X1528" t="s">
        <v>99</v>
      </c>
      <c r="Y1528">
        <v>1590</v>
      </c>
      <c r="Z1528" t="s">
        <v>5803</v>
      </c>
      <c r="AA1528" t="s">
        <v>5804</v>
      </c>
      <c r="AC1528" t="s">
        <v>6915</v>
      </c>
      <c r="AE1528" t="s">
        <v>9204</v>
      </c>
      <c r="AF1528">
        <v>90</v>
      </c>
      <c r="AG1528" t="s">
        <v>9272</v>
      </c>
      <c r="AH1528" t="s">
        <v>4280</v>
      </c>
      <c r="AI1528">
        <v>15</v>
      </c>
      <c r="AJ1528">
        <v>4</v>
      </c>
      <c r="AK1528">
        <v>2</v>
      </c>
      <c r="AL1528">
        <v>105.04</v>
      </c>
      <c r="AO1528" t="s">
        <v>9298</v>
      </c>
      <c r="AP1528">
        <v>36332</v>
      </c>
      <c r="AV1528">
        <v>5</v>
      </c>
      <c r="AW1528" t="s">
        <v>9549</v>
      </c>
    </row>
    <row r="1529" spans="1:49">
      <c r="A1529" s="1">
        <f>HYPERLINK("https://cms.ls-nyc.org/matter/dynamic-profile/view/1883658","18-1883658")</f>
        <v>0</v>
      </c>
      <c r="B1529" t="s">
        <v>80</v>
      </c>
      <c r="C1529" t="s">
        <v>82</v>
      </c>
      <c r="D1529" t="s">
        <v>186</v>
      </c>
      <c r="E1529" t="s">
        <v>313</v>
      </c>
      <c r="F1529" t="s">
        <v>851</v>
      </c>
      <c r="G1529" t="s">
        <v>2443</v>
      </c>
      <c r="H1529" t="s">
        <v>3786</v>
      </c>
      <c r="I1529" t="s">
        <v>4212</v>
      </c>
      <c r="J1529" t="s">
        <v>4234</v>
      </c>
      <c r="K1529">
        <v>11103</v>
      </c>
      <c r="L1529" t="s">
        <v>4275</v>
      </c>
      <c r="M1529" t="s">
        <v>4275</v>
      </c>
      <c r="O1529" t="s">
        <v>4282</v>
      </c>
      <c r="P1529" t="s">
        <v>5667</v>
      </c>
      <c r="Q1529" t="s">
        <v>5731</v>
      </c>
      <c r="R1529" t="s">
        <v>5751</v>
      </c>
      <c r="S1529" t="s">
        <v>5758</v>
      </c>
      <c r="T1529" t="s">
        <v>4276</v>
      </c>
      <c r="V1529" t="s">
        <v>5767</v>
      </c>
      <c r="W1529" t="s">
        <v>5772</v>
      </c>
      <c r="X1529" t="s">
        <v>186</v>
      </c>
      <c r="Y1529">
        <v>588</v>
      </c>
      <c r="Z1529" t="s">
        <v>5803</v>
      </c>
      <c r="AA1529" t="s">
        <v>5804</v>
      </c>
      <c r="AB1529" t="s">
        <v>5820</v>
      </c>
      <c r="AC1529" t="s">
        <v>7218</v>
      </c>
      <c r="AE1529" t="s">
        <v>9205</v>
      </c>
      <c r="AF1529">
        <v>24</v>
      </c>
      <c r="AG1529" t="s">
        <v>9274</v>
      </c>
      <c r="AH1529" t="s">
        <v>4280</v>
      </c>
      <c r="AI1529">
        <v>56</v>
      </c>
      <c r="AJ1529">
        <v>1</v>
      </c>
      <c r="AK1529">
        <v>0</v>
      </c>
      <c r="AL1529">
        <v>108.73</v>
      </c>
      <c r="AO1529" t="s">
        <v>1425</v>
      </c>
      <c r="AP1529">
        <v>13200</v>
      </c>
      <c r="AR1529" t="s">
        <v>9327</v>
      </c>
      <c r="AS1529" t="s">
        <v>9340</v>
      </c>
      <c r="AT1529" t="s">
        <v>9369</v>
      </c>
      <c r="AU1529" t="s">
        <v>9506</v>
      </c>
      <c r="AV1529">
        <v>26.3</v>
      </c>
      <c r="AW1529" t="s">
        <v>73</v>
      </c>
    </row>
    <row r="1530" spans="1:49">
      <c r="A1530" s="1">
        <f>HYPERLINK("https://cms.ls-nyc.org/matter/dynamic-profile/view/1889931","19-1889931")</f>
        <v>0</v>
      </c>
      <c r="B1530" t="s">
        <v>80</v>
      </c>
      <c r="C1530" t="s">
        <v>82</v>
      </c>
      <c r="D1530" t="s">
        <v>175</v>
      </c>
      <c r="E1530" t="s">
        <v>298</v>
      </c>
      <c r="F1530" t="s">
        <v>1336</v>
      </c>
      <c r="G1530" t="s">
        <v>2405</v>
      </c>
      <c r="H1530" t="s">
        <v>3787</v>
      </c>
      <c r="I1530" t="s">
        <v>3864</v>
      </c>
      <c r="J1530" t="s">
        <v>4222</v>
      </c>
      <c r="K1530">
        <v>11433</v>
      </c>
      <c r="L1530" t="s">
        <v>4275</v>
      </c>
      <c r="M1530" t="s">
        <v>4275</v>
      </c>
      <c r="N1530" t="s">
        <v>4278</v>
      </c>
      <c r="O1530" t="s">
        <v>4281</v>
      </c>
      <c r="P1530" t="s">
        <v>5668</v>
      </c>
      <c r="Q1530" t="s">
        <v>5732</v>
      </c>
      <c r="R1530" t="s">
        <v>5751</v>
      </c>
      <c r="S1530" t="s">
        <v>5759</v>
      </c>
      <c r="T1530" t="s">
        <v>4276</v>
      </c>
      <c r="V1530" t="s">
        <v>5767</v>
      </c>
      <c r="W1530" t="s">
        <v>5772</v>
      </c>
      <c r="X1530" t="s">
        <v>175</v>
      </c>
      <c r="Y1530">
        <v>1000</v>
      </c>
      <c r="Z1530" t="s">
        <v>5803</v>
      </c>
      <c r="AA1530" t="s">
        <v>5804</v>
      </c>
      <c r="AB1530" t="s">
        <v>5822</v>
      </c>
      <c r="AC1530" t="s">
        <v>7219</v>
      </c>
      <c r="AE1530" t="s">
        <v>9206</v>
      </c>
      <c r="AF1530">
        <v>2</v>
      </c>
      <c r="AG1530" t="s">
        <v>9269</v>
      </c>
      <c r="AH1530" t="s">
        <v>4280</v>
      </c>
      <c r="AI1530">
        <v>1</v>
      </c>
      <c r="AJ1530">
        <v>4</v>
      </c>
      <c r="AK1530">
        <v>2</v>
      </c>
      <c r="AL1530">
        <v>112.75</v>
      </c>
      <c r="AO1530" t="s">
        <v>1425</v>
      </c>
      <c r="AP1530">
        <v>39000</v>
      </c>
      <c r="AR1530" t="s">
        <v>9326</v>
      </c>
      <c r="AT1530" t="s">
        <v>9370</v>
      </c>
      <c r="AU1530" t="s">
        <v>9544</v>
      </c>
      <c r="AV1530">
        <v>14.4</v>
      </c>
      <c r="AW1530" t="s">
        <v>73</v>
      </c>
    </row>
    <row r="1531" spans="1:49">
      <c r="A1531" s="1">
        <f>HYPERLINK("https://cms.ls-nyc.org/matter/dynamic-profile/view/1895252","19-1895252")</f>
        <v>0</v>
      </c>
      <c r="B1531" t="s">
        <v>80</v>
      </c>
      <c r="C1531" t="s">
        <v>83</v>
      </c>
      <c r="D1531" t="s">
        <v>238</v>
      </c>
      <c r="F1531" t="s">
        <v>1337</v>
      </c>
      <c r="G1531" t="s">
        <v>2444</v>
      </c>
      <c r="H1531" t="s">
        <v>3788</v>
      </c>
      <c r="J1531" t="s">
        <v>4236</v>
      </c>
      <c r="K1531">
        <v>11417</v>
      </c>
      <c r="L1531" t="s">
        <v>4275</v>
      </c>
      <c r="M1531" t="s">
        <v>4275</v>
      </c>
      <c r="O1531" t="s">
        <v>4282</v>
      </c>
      <c r="P1531" t="s">
        <v>5669</v>
      </c>
      <c r="Q1531" t="s">
        <v>5732</v>
      </c>
      <c r="R1531" t="s">
        <v>5752</v>
      </c>
      <c r="V1531" t="s">
        <v>5767</v>
      </c>
      <c r="W1531" t="s">
        <v>5773</v>
      </c>
      <c r="X1531" t="s">
        <v>238</v>
      </c>
      <c r="Y1531">
        <v>1200</v>
      </c>
      <c r="Z1531" t="s">
        <v>5803</v>
      </c>
      <c r="AA1531" t="s">
        <v>5804</v>
      </c>
      <c r="AC1531" t="s">
        <v>7220</v>
      </c>
      <c r="AF1531">
        <v>0</v>
      </c>
      <c r="AI1531">
        <v>0</v>
      </c>
      <c r="AJ1531">
        <v>3</v>
      </c>
      <c r="AK1531">
        <v>2</v>
      </c>
      <c r="AL1531">
        <v>116.01</v>
      </c>
      <c r="AO1531" t="s">
        <v>1425</v>
      </c>
      <c r="AP1531">
        <v>35000</v>
      </c>
      <c r="AV1531">
        <v>2</v>
      </c>
      <c r="AW1531" t="s">
        <v>9547</v>
      </c>
    </row>
    <row r="1532" spans="1:49">
      <c r="A1532" s="1">
        <f>HYPERLINK("https://cms.ls-nyc.org/matter/dynamic-profile/view/1898687","19-1898687")</f>
        <v>0</v>
      </c>
      <c r="B1532" t="s">
        <v>80</v>
      </c>
      <c r="C1532" t="s">
        <v>83</v>
      </c>
      <c r="D1532" t="s">
        <v>93</v>
      </c>
      <c r="F1532" t="s">
        <v>1195</v>
      </c>
      <c r="G1532" t="s">
        <v>2445</v>
      </c>
      <c r="H1532" t="s">
        <v>3789</v>
      </c>
      <c r="I1532">
        <v>1</v>
      </c>
      <c r="J1532" t="s">
        <v>4236</v>
      </c>
      <c r="K1532">
        <v>11417</v>
      </c>
      <c r="L1532" t="s">
        <v>4275</v>
      </c>
      <c r="M1532" t="s">
        <v>4275</v>
      </c>
      <c r="O1532" t="s">
        <v>4282</v>
      </c>
      <c r="P1532" t="s">
        <v>5670</v>
      </c>
      <c r="Q1532" t="s">
        <v>5732</v>
      </c>
      <c r="R1532" t="s">
        <v>5752</v>
      </c>
      <c r="T1532" t="s">
        <v>4276</v>
      </c>
      <c r="V1532" t="s">
        <v>5767</v>
      </c>
      <c r="X1532" t="s">
        <v>93</v>
      </c>
      <c r="Y1532">
        <v>2068</v>
      </c>
      <c r="Z1532" t="s">
        <v>5803</v>
      </c>
      <c r="AA1532" t="s">
        <v>5804</v>
      </c>
      <c r="AC1532" t="s">
        <v>7221</v>
      </c>
      <c r="AE1532" t="s">
        <v>9207</v>
      </c>
      <c r="AF1532">
        <v>0</v>
      </c>
      <c r="AG1532" t="s">
        <v>9270</v>
      </c>
      <c r="AH1532" t="s">
        <v>9282</v>
      </c>
      <c r="AI1532">
        <v>5</v>
      </c>
      <c r="AJ1532">
        <v>1</v>
      </c>
      <c r="AK1532">
        <v>3</v>
      </c>
      <c r="AL1532">
        <v>119.07</v>
      </c>
      <c r="AO1532" t="s">
        <v>1425</v>
      </c>
      <c r="AP1532">
        <v>30660</v>
      </c>
      <c r="AV1532">
        <v>0.3</v>
      </c>
      <c r="AW1532" t="s">
        <v>54</v>
      </c>
    </row>
    <row r="1533" spans="1:49">
      <c r="A1533" s="1">
        <f>HYPERLINK("https://cms.ls-nyc.org/matter/dynamic-profile/view/1895991","19-1895991")</f>
        <v>0</v>
      </c>
      <c r="B1533" t="s">
        <v>80</v>
      </c>
      <c r="C1533" t="s">
        <v>83</v>
      </c>
      <c r="D1533" t="s">
        <v>105</v>
      </c>
      <c r="F1533" t="s">
        <v>1338</v>
      </c>
      <c r="G1533" t="s">
        <v>2446</v>
      </c>
      <c r="H1533" t="s">
        <v>3790</v>
      </c>
      <c r="I1533" t="s">
        <v>4125</v>
      </c>
      <c r="J1533" t="s">
        <v>4223</v>
      </c>
      <c r="K1533">
        <v>11423</v>
      </c>
      <c r="L1533" t="s">
        <v>4275</v>
      </c>
      <c r="M1533" t="s">
        <v>4275</v>
      </c>
      <c r="O1533" t="s">
        <v>4283</v>
      </c>
      <c r="P1533" t="s">
        <v>5671</v>
      </c>
      <c r="Q1533" t="s">
        <v>5732</v>
      </c>
      <c r="R1533" t="s">
        <v>5753</v>
      </c>
      <c r="V1533" t="s">
        <v>5767</v>
      </c>
      <c r="X1533" t="s">
        <v>105</v>
      </c>
      <c r="Y1533">
        <v>1800</v>
      </c>
      <c r="Z1533" t="s">
        <v>5803</v>
      </c>
      <c r="AA1533" t="s">
        <v>5804</v>
      </c>
      <c r="AC1533" t="s">
        <v>7222</v>
      </c>
      <c r="AE1533" t="s">
        <v>9208</v>
      </c>
      <c r="AF1533">
        <v>0</v>
      </c>
      <c r="AI1533">
        <v>14</v>
      </c>
      <c r="AJ1533">
        <v>1</v>
      </c>
      <c r="AK1533">
        <v>2</v>
      </c>
      <c r="AL1533">
        <v>131.08</v>
      </c>
      <c r="AO1533" t="s">
        <v>1425</v>
      </c>
      <c r="AP1533">
        <v>27960</v>
      </c>
      <c r="AV1533">
        <v>4.4</v>
      </c>
      <c r="AW1533" t="s">
        <v>9547</v>
      </c>
    </row>
    <row r="1534" spans="1:49">
      <c r="A1534" s="1">
        <f>HYPERLINK("https://cms.ls-nyc.org/matter/dynamic-profile/view/1886287","18-1886287")</f>
        <v>0</v>
      </c>
      <c r="B1534" t="s">
        <v>80</v>
      </c>
      <c r="C1534" t="s">
        <v>83</v>
      </c>
      <c r="D1534" t="s">
        <v>182</v>
      </c>
      <c r="F1534" t="s">
        <v>903</v>
      </c>
      <c r="G1534" t="s">
        <v>2447</v>
      </c>
      <c r="H1534" t="s">
        <v>3791</v>
      </c>
      <c r="I1534">
        <v>1</v>
      </c>
      <c r="J1534" t="s">
        <v>4254</v>
      </c>
      <c r="K1534">
        <v>11692</v>
      </c>
      <c r="L1534" t="s">
        <v>4275</v>
      </c>
      <c r="M1534" t="s">
        <v>4275</v>
      </c>
      <c r="O1534" t="s">
        <v>4283</v>
      </c>
      <c r="P1534" t="s">
        <v>5672</v>
      </c>
      <c r="Q1534" t="s">
        <v>5732</v>
      </c>
      <c r="T1534" t="s">
        <v>4276</v>
      </c>
      <c r="V1534" t="s">
        <v>5767</v>
      </c>
      <c r="Y1534">
        <v>0</v>
      </c>
      <c r="Z1534" t="s">
        <v>5803</v>
      </c>
      <c r="AA1534" t="s">
        <v>5804</v>
      </c>
      <c r="AC1534" t="s">
        <v>7223</v>
      </c>
      <c r="AE1534" t="s">
        <v>9209</v>
      </c>
      <c r="AF1534">
        <v>2</v>
      </c>
      <c r="AH1534" t="s">
        <v>4280</v>
      </c>
      <c r="AI1534">
        <v>8</v>
      </c>
      <c r="AJ1534">
        <v>4</v>
      </c>
      <c r="AK1534">
        <v>1</v>
      </c>
      <c r="AL1534">
        <v>135.96</v>
      </c>
      <c r="AO1534" t="s">
        <v>1425</v>
      </c>
      <c r="AP1534">
        <v>40000</v>
      </c>
      <c r="AV1534">
        <v>0.55</v>
      </c>
      <c r="AW1534" t="s">
        <v>74</v>
      </c>
    </row>
    <row r="1535" spans="1:49">
      <c r="A1535" s="1">
        <f>HYPERLINK("https://cms.ls-nyc.org/matter/dynamic-profile/view/1884073","18-1884073")</f>
        <v>0</v>
      </c>
      <c r="B1535" t="s">
        <v>80</v>
      </c>
      <c r="C1535" t="s">
        <v>83</v>
      </c>
      <c r="D1535" t="s">
        <v>86</v>
      </c>
      <c r="F1535" t="s">
        <v>490</v>
      </c>
      <c r="G1535" t="s">
        <v>2448</v>
      </c>
      <c r="H1535" t="s">
        <v>3792</v>
      </c>
      <c r="I1535">
        <v>606</v>
      </c>
      <c r="J1535" t="s">
        <v>4229</v>
      </c>
      <c r="K1535">
        <v>11355</v>
      </c>
      <c r="L1535" t="s">
        <v>4275</v>
      </c>
      <c r="M1535" t="s">
        <v>4275</v>
      </c>
      <c r="O1535" t="s">
        <v>4282</v>
      </c>
      <c r="P1535" t="s">
        <v>5673</v>
      </c>
      <c r="Q1535" t="s">
        <v>5732</v>
      </c>
      <c r="R1535" t="s">
        <v>5752</v>
      </c>
      <c r="T1535" t="s">
        <v>4276</v>
      </c>
      <c r="V1535" t="s">
        <v>5767</v>
      </c>
      <c r="Y1535">
        <v>1350</v>
      </c>
      <c r="Z1535" t="s">
        <v>5803</v>
      </c>
      <c r="AA1535" t="s">
        <v>5804</v>
      </c>
      <c r="AC1535" t="s">
        <v>7224</v>
      </c>
      <c r="AE1535" t="s">
        <v>9210</v>
      </c>
      <c r="AF1535">
        <v>180</v>
      </c>
      <c r="AG1535" t="s">
        <v>9270</v>
      </c>
      <c r="AH1535" t="s">
        <v>4280</v>
      </c>
      <c r="AI1535">
        <v>18</v>
      </c>
      <c r="AJ1535">
        <v>3</v>
      </c>
      <c r="AK1535">
        <v>0</v>
      </c>
      <c r="AL1535">
        <v>144.37</v>
      </c>
      <c r="AO1535" t="s">
        <v>1425</v>
      </c>
      <c r="AP1535">
        <v>30000</v>
      </c>
      <c r="AV1535">
        <v>1.5</v>
      </c>
      <c r="AW1535" t="s">
        <v>54</v>
      </c>
    </row>
    <row r="1536" spans="1:49">
      <c r="A1536" s="1">
        <f>HYPERLINK("https://cms.ls-nyc.org/matter/dynamic-profile/view/1899318","19-1899318")</f>
        <v>0</v>
      </c>
      <c r="B1536" t="s">
        <v>80</v>
      </c>
      <c r="C1536" t="s">
        <v>82</v>
      </c>
      <c r="D1536" t="s">
        <v>104</v>
      </c>
      <c r="E1536" t="s">
        <v>124</v>
      </c>
      <c r="F1536" t="s">
        <v>1087</v>
      </c>
      <c r="G1536" t="s">
        <v>1462</v>
      </c>
      <c r="H1536" t="s">
        <v>3631</v>
      </c>
      <c r="I1536" t="s">
        <v>4013</v>
      </c>
      <c r="J1536" t="s">
        <v>4241</v>
      </c>
      <c r="K1536">
        <v>11368</v>
      </c>
      <c r="L1536" t="s">
        <v>4275</v>
      </c>
      <c r="M1536" t="s">
        <v>4277</v>
      </c>
      <c r="N1536" t="s">
        <v>4278</v>
      </c>
      <c r="O1536" t="s">
        <v>4282</v>
      </c>
      <c r="P1536" t="s">
        <v>5674</v>
      </c>
      <c r="Q1536" t="s">
        <v>5731</v>
      </c>
      <c r="R1536" t="s">
        <v>5753</v>
      </c>
      <c r="S1536" t="s">
        <v>5759</v>
      </c>
      <c r="T1536" t="s">
        <v>4276</v>
      </c>
      <c r="V1536" t="s">
        <v>5767</v>
      </c>
      <c r="X1536" t="s">
        <v>104</v>
      </c>
      <c r="Y1536">
        <v>1872</v>
      </c>
      <c r="Z1536" t="s">
        <v>5803</v>
      </c>
      <c r="AA1536" t="s">
        <v>5808</v>
      </c>
      <c r="AB1536" t="s">
        <v>5821</v>
      </c>
      <c r="AC1536" t="s">
        <v>7225</v>
      </c>
      <c r="AE1536" t="s">
        <v>9211</v>
      </c>
      <c r="AF1536">
        <v>0</v>
      </c>
      <c r="AG1536" t="s">
        <v>9270</v>
      </c>
      <c r="AH1536" t="s">
        <v>4280</v>
      </c>
      <c r="AI1536">
        <v>13</v>
      </c>
      <c r="AJ1536">
        <v>3</v>
      </c>
      <c r="AK1536">
        <v>0</v>
      </c>
      <c r="AL1536">
        <v>146.27</v>
      </c>
      <c r="AO1536" t="s">
        <v>9298</v>
      </c>
      <c r="AP1536">
        <v>31200</v>
      </c>
      <c r="AV1536">
        <v>2.4</v>
      </c>
      <c r="AW1536" t="s">
        <v>54</v>
      </c>
    </row>
    <row r="1537" spans="1:49">
      <c r="A1537" s="1">
        <f>HYPERLINK("https://cms.ls-nyc.org/matter/dynamic-profile/view/1881328","18-1881328")</f>
        <v>0</v>
      </c>
      <c r="B1537" t="s">
        <v>80</v>
      </c>
      <c r="C1537" t="s">
        <v>82</v>
      </c>
      <c r="D1537" t="s">
        <v>150</v>
      </c>
      <c r="E1537" t="s">
        <v>313</v>
      </c>
      <c r="F1537" t="s">
        <v>1339</v>
      </c>
      <c r="G1537" t="s">
        <v>977</v>
      </c>
      <c r="H1537" t="s">
        <v>3793</v>
      </c>
      <c r="I1537" t="s">
        <v>3952</v>
      </c>
      <c r="J1537" t="s">
        <v>4222</v>
      </c>
      <c r="K1537">
        <v>11434</v>
      </c>
      <c r="L1537" t="s">
        <v>4275</v>
      </c>
      <c r="M1537" t="s">
        <v>4275</v>
      </c>
      <c r="O1537" t="s">
        <v>4281</v>
      </c>
      <c r="P1537" t="s">
        <v>5675</v>
      </c>
      <c r="Q1537" t="s">
        <v>5732</v>
      </c>
      <c r="R1537" t="s">
        <v>5751</v>
      </c>
      <c r="S1537" t="s">
        <v>5762</v>
      </c>
      <c r="T1537" t="s">
        <v>4276</v>
      </c>
      <c r="V1537" t="s">
        <v>5767</v>
      </c>
      <c r="W1537" t="s">
        <v>5772</v>
      </c>
      <c r="X1537" t="s">
        <v>150</v>
      </c>
      <c r="Y1537">
        <v>1850</v>
      </c>
      <c r="Z1537" t="s">
        <v>5803</v>
      </c>
      <c r="AA1537" t="s">
        <v>5805</v>
      </c>
      <c r="AB1537" t="s">
        <v>5822</v>
      </c>
      <c r="AC1537" t="s">
        <v>7226</v>
      </c>
      <c r="AD1537" t="s">
        <v>4700</v>
      </c>
      <c r="AE1537" t="s">
        <v>9212</v>
      </c>
      <c r="AF1537">
        <v>2</v>
      </c>
      <c r="AG1537" t="s">
        <v>9269</v>
      </c>
      <c r="AI1537">
        <v>1</v>
      </c>
      <c r="AJ1537">
        <v>3</v>
      </c>
      <c r="AK1537">
        <v>1</v>
      </c>
      <c r="AL1537">
        <v>153.31</v>
      </c>
      <c r="AO1537" t="s">
        <v>1425</v>
      </c>
      <c r="AP1537">
        <v>38480</v>
      </c>
      <c r="AR1537" t="s">
        <v>9329</v>
      </c>
      <c r="AS1537" t="s">
        <v>9340</v>
      </c>
      <c r="AT1537" t="s">
        <v>9370</v>
      </c>
      <c r="AV1537">
        <v>8.300000000000001</v>
      </c>
      <c r="AW1537" t="s">
        <v>60</v>
      </c>
    </row>
    <row r="1538" spans="1:49">
      <c r="A1538" s="1">
        <f>HYPERLINK("https://cms.ls-nyc.org/matter/dynamic-profile/view/1889544","19-1889544")</f>
        <v>0</v>
      </c>
      <c r="B1538" t="s">
        <v>80</v>
      </c>
      <c r="C1538" t="s">
        <v>82</v>
      </c>
      <c r="D1538" t="s">
        <v>171</v>
      </c>
      <c r="E1538" t="s">
        <v>289</v>
      </c>
      <c r="F1538" t="s">
        <v>398</v>
      </c>
      <c r="G1538" t="s">
        <v>1456</v>
      </c>
      <c r="H1538" t="s">
        <v>2577</v>
      </c>
      <c r="I1538" t="s">
        <v>3887</v>
      </c>
      <c r="J1538" t="s">
        <v>4222</v>
      </c>
      <c r="K1538">
        <v>11434</v>
      </c>
      <c r="L1538" t="s">
        <v>4275</v>
      </c>
      <c r="M1538" t="s">
        <v>4275</v>
      </c>
      <c r="N1538" t="s">
        <v>4278</v>
      </c>
      <c r="O1538" t="s">
        <v>4281</v>
      </c>
      <c r="P1538" t="s">
        <v>5676</v>
      </c>
      <c r="Q1538" t="s">
        <v>5731</v>
      </c>
      <c r="R1538" t="s">
        <v>5751</v>
      </c>
      <c r="S1538" t="s">
        <v>5758</v>
      </c>
      <c r="T1538" t="s">
        <v>4275</v>
      </c>
      <c r="V1538" t="s">
        <v>5768</v>
      </c>
      <c r="W1538" t="s">
        <v>5772</v>
      </c>
      <c r="X1538" t="s">
        <v>171</v>
      </c>
      <c r="Y1538">
        <v>1072</v>
      </c>
      <c r="Z1538" t="s">
        <v>5803</v>
      </c>
      <c r="AA1538" t="s">
        <v>5807</v>
      </c>
      <c r="AB1538" t="s">
        <v>5823</v>
      </c>
      <c r="AC1538" t="s">
        <v>5918</v>
      </c>
      <c r="AE1538" t="s">
        <v>7928</v>
      </c>
      <c r="AF1538">
        <v>0</v>
      </c>
      <c r="AG1538" t="s">
        <v>9271</v>
      </c>
      <c r="AI1538">
        <v>17</v>
      </c>
      <c r="AJ1538">
        <v>3</v>
      </c>
      <c r="AK1538">
        <v>0</v>
      </c>
      <c r="AL1538">
        <v>154.98</v>
      </c>
      <c r="AO1538" t="s">
        <v>1425</v>
      </c>
      <c r="AP1538">
        <v>33056.88</v>
      </c>
      <c r="AR1538" t="s">
        <v>9329</v>
      </c>
      <c r="AS1538" t="s">
        <v>9336</v>
      </c>
      <c r="AT1538" t="s">
        <v>9369</v>
      </c>
      <c r="AU1538" t="s">
        <v>9545</v>
      </c>
      <c r="AV1538">
        <v>24.36</v>
      </c>
      <c r="AW1538" t="s">
        <v>60</v>
      </c>
    </row>
    <row r="1539" spans="1:49">
      <c r="A1539" s="1">
        <f>HYPERLINK("https://cms.ls-nyc.org/matter/dynamic-profile/view/1891177","19-1891177")</f>
        <v>0</v>
      </c>
      <c r="B1539" t="s">
        <v>80</v>
      </c>
      <c r="C1539" t="s">
        <v>83</v>
      </c>
      <c r="D1539" t="s">
        <v>167</v>
      </c>
      <c r="F1539" t="s">
        <v>1240</v>
      </c>
      <c r="G1539" t="s">
        <v>2449</v>
      </c>
      <c r="H1539" t="s">
        <v>3215</v>
      </c>
      <c r="I1539" t="s">
        <v>4209</v>
      </c>
      <c r="J1539" t="s">
        <v>4255</v>
      </c>
      <c r="K1539">
        <v>11372</v>
      </c>
      <c r="L1539" t="s">
        <v>4275</v>
      </c>
      <c r="M1539" t="s">
        <v>4275</v>
      </c>
      <c r="O1539" t="s">
        <v>4282</v>
      </c>
      <c r="P1539" t="s">
        <v>5677</v>
      </c>
      <c r="Q1539" t="s">
        <v>5732</v>
      </c>
      <c r="R1539" t="s">
        <v>5753</v>
      </c>
      <c r="V1539" t="s">
        <v>5767</v>
      </c>
      <c r="X1539" t="s">
        <v>167</v>
      </c>
      <c r="Y1539">
        <v>540</v>
      </c>
      <c r="Z1539" t="s">
        <v>5803</v>
      </c>
      <c r="AA1539" t="s">
        <v>5804</v>
      </c>
      <c r="AC1539" t="s">
        <v>5847</v>
      </c>
      <c r="AD1539" t="s">
        <v>4700</v>
      </c>
      <c r="AE1539" t="s">
        <v>9213</v>
      </c>
      <c r="AF1539">
        <v>16</v>
      </c>
      <c r="AG1539" t="s">
        <v>9272</v>
      </c>
      <c r="AI1539">
        <v>13</v>
      </c>
      <c r="AJ1539">
        <v>1</v>
      </c>
      <c r="AK1539">
        <v>0</v>
      </c>
      <c r="AL1539">
        <v>156.08</v>
      </c>
      <c r="AO1539" t="s">
        <v>9298</v>
      </c>
      <c r="AP1539">
        <v>19494</v>
      </c>
      <c r="AV1539">
        <v>4.65</v>
      </c>
      <c r="AW1539" t="s">
        <v>80</v>
      </c>
    </row>
    <row r="1540" spans="1:49">
      <c r="A1540" s="1">
        <f>HYPERLINK("https://cms.ls-nyc.org/matter/dynamic-profile/view/1879318","18-1879318")</f>
        <v>0</v>
      </c>
      <c r="B1540" t="s">
        <v>80</v>
      </c>
      <c r="C1540" t="s">
        <v>82</v>
      </c>
      <c r="D1540" t="s">
        <v>220</v>
      </c>
      <c r="E1540" t="s">
        <v>221</v>
      </c>
      <c r="F1540" t="s">
        <v>581</v>
      </c>
      <c r="G1540" t="s">
        <v>1999</v>
      </c>
      <c r="H1540" t="s">
        <v>3794</v>
      </c>
      <c r="I1540">
        <v>3</v>
      </c>
      <c r="J1540" t="s">
        <v>4245</v>
      </c>
      <c r="K1540">
        <v>11418</v>
      </c>
      <c r="L1540" t="s">
        <v>4275</v>
      </c>
      <c r="M1540" t="s">
        <v>4275</v>
      </c>
      <c r="O1540" t="s">
        <v>4282</v>
      </c>
      <c r="P1540" t="s">
        <v>5678</v>
      </c>
      <c r="Q1540" t="s">
        <v>5732</v>
      </c>
      <c r="R1540" t="s">
        <v>5751</v>
      </c>
      <c r="S1540" t="s">
        <v>5758</v>
      </c>
      <c r="T1540" t="s">
        <v>4276</v>
      </c>
      <c r="V1540" t="s">
        <v>5767</v>
      </c>
      <c r="W1540" t="s">
        <v>5772</v>
      </c>
      <c r="X1540" t="s">
        <v>130</v>
      </c>
      <c r="Y1540">
        <v>1150</v>
      </c>
      <c r="Z1540" t="s">
        <v>5803</v>
      </c>
      <c r="AA1540" t="s">
        <v>5804</v>
      </c>
      <c r="AB1540" t="s">
        <v>5820</v>
      </c>
      <c r="AC1540" t="s">
        <v>7227</v>
      </c>
      <c r="AE1540" t="s">
        <v>9214</v>
      </c>
      <c r="AF1540">
        <v>3</v>
      </c>
      <c r="AG1540" t="s">
        <v>9269</v>
      </c>
      <c r="AH1540" t="s">
        <v>9282</v>
      </c>
      <c r="AI1540">
        <v>10</v>
      </c>
      <c r="AJ1540">
        <v>2</v>
      </c>
      <c r="AK1540">
        <v>0</v>
      </c>
      <c r="AL1540">
        <v>157.96</v>
      </c>
      <c r="AO1540" t="s">
        <v>9298</v>
      </c>
      <c r="AP1540">
        <v>26000</v>
      </c>
      <c r="AR1540" t="s">
        <v>9329</v>
      </c>
      <c r="AS1540" t="s">
        <v>9336</v>
      </c>
      <c r="AT1540" t="s">
        <v>9370</v>
      </c>
      <c r="AU1540" t="s">
        <v>9546</v>
      </c>
      <c r="AV1540">
        <v>27.4</v>
      </c>
      <c r="AW1540" t="s">
        <v>54</v>
      </c>
    </row>
    <row r="1541" spans="1:49">
      <c r="A1541" s="1">
        <f>HYPERLINK("https://cms.ls-nyc.org/matter/dynamic-profile/view/1885555","18-1885555")</f>
        <v>0</v>
      </c>
      <c r="B1541" t="s">
        <v>80</v>
      </c>
      <c r="C1541" t="s">
        <v>83</v>
      </c>
      <c r="D1541" t="s">
        <v>187</v>
      </c>
      <c r="F1541" t="s">
        <v>1340</v>
      </c>
      <c r="G1541" t="s">
        <v>2450</v>
      </c>
      <c r="H1541" t="s">
        <v>3795</v>
      </c>
      <c r="I1541" t="s">
        <v>3867</v>
      </c>
      <c r="J1541" t="s">
        <v>4231</v>
      </c>
      <c r="K1541">
        <v>11419</v>
      </c>
      <c r="L1541" t="s">
        <v>4275</v>
      </c>
      <c r="M1541" t="s">
        <v>4275</v>
      </c>
      <c r="O1541" t="s">
        <v>4282</v>
      </c>
      <c r="P1541" t="s">
        <v>5679</v>
      </c>
      <c r="Q1541" t="s">
        <v>5732</v>
      </c>
      <c r="R1541" t="s">
        <v>5752</v>
      </c>
      <c r="T1541" t="s">
        <v>4276</v>
      </c>
      <c r="V1541" t="s">
        <v>5767</v>
      </c>
      <c r="Y1541">
        <v>1350</v>
      </c>
      <c r="Z1541" t="s">
        <v>5803</v>
      </c>
      <c r="AA1541" t="s">
        <v>5804</v>
      </c>
      <c r="AC1541" t="s">
        <v>7228</v>
      </c>
      <c r="AE1541" t="s">
        <v>9215</v>
      </c>
      <c r="AF1541">
        <v>0</v>
      </c>
      <c r="AG1541" t="s">
        <v>9270</v>
      </c>
      <c r="AH1541" t="s">
        <v>4280</v>
      </c>
      <c r="AI1541">
        <v>17</v>
      </c>
      <c r="AJ1541">
        <v>5</v>
      </c>
      <c r="AK1541">
        <v>1</v>
      </c>
      <c r="AL1541">
        <v>163.01</v>
      </c>
      <c r="AO1541" t="s">
        <v>1425</v>
      </c>
      <c r="AP1541">
        <v>55000</v>
      </c>
      <c r="AV1541">
        <v>0</v>
      </c>
      <c r="AW1541" t="s">
        <v>54</v>
      </c>
    </row>
    <row r="1542" spans="1:49">
      <c r="A1542" s="1">
        <f>HYPERLINK("https://cms.ls-nyc.org/matter/dynamic-profile/view/1895788","19-1895788")</f>
        <v>0</v>
      </c>
      <c r="B1542" t="s">
        <v>80</v>
      </c>
      <c r="C1542" t="s">
        <v>83</v>
      </c>
      <c r="D1542" t="s">
        <v>94</v>
      </c>
      <c r="F1542" t="s">
        <v>1341</v>
      </c>
      <c r="G1542" t="s">
        <v>1385</v>
      </c>
      <c r="H1542" t="s">
        <v>3796</v>
      </c>
      <c r="J1542" t="s">
        <v>4222</v>
      </c>
      <c r="K1542">
        <v>11434</v>
      </c>
      <c r="L1542" t="s">
        <v>4275</v>
      </c>
      <c r="M1542" t="s">
        <v>4275</v>
      </c>
      <c r="O1542" t="s">
        <v>4281</v>
      </c>
      <c r="P1542" t="s">
        <v>5680</v>
      </c>
      <c r="Q1542" t="s">
        <v>5732</v>
      </c>
      <c r="R1542" t="s">
        <v>5752</v>
      </c>
      <c r="T1542" t="s">
        <v>4276</v>
      </c>
      <c r="V1542" t="s">
        <v>5767</v>
      </c>
      <c r="X1542" t="s">
        <v>94</v>
      </c>
      <c r="Y1542">
        <v>1500</v>
      </c>
      <c r="Z1542" t="s">
        <v>5803</v>
      </c>
      <c r="AA1542" t="s">
        <v>5804</v>
      </c>
      <c r="AC1542" t="s">
        <v>7229</v>
      </c>
      <c r="AE1542" t="s">
        <v>9216</v>
      </c>
      <c r="AF1542">
        <v>1</v>
      </c>
      <c r="AG1542" t="s">
        <v>9270</v>
      </c>
      <c r="AH1542" t="s">
        <v>4280</v>
      </c>
      <c r="AI1542">
        <v>5</v>
      </c>
      <c r="AJ1542">
        <v>2</v>
      </c>
      <c r="AK1542">
        <v>1</v>
      </c>
      <c r="AL1542">
        <v>164.09</v>
      </c>
      <c r="AO1542" t="s">
        <v>9298</v>
      </c>
      <c r="AP1542">
        <v>35000</v>
      </c>
      <c r="AV1542">
        <v>0.3</v>
      </c>
      <c r="AW1542" t="s">
        <v>54</v>
      </c>
    </row>
    <row r="1543" spans="1:49">
      <c r="A1543" s="1">
        <f>HYPERLINK("https://cms.ls-nyc.org/matter/dynamic-profile/view/1896524","19-1896524")</f>
        <v>0</v>
      </c>
      <c r="B1543" t="s">
        <v>80</v>
      </c>
      <c r="C1543" t="s">
        <v>83</v>
      </c>
      <c r="D1543" t="s">
        <v>248</v>
      </c>
      <c r="F1543" t="s">
        <v>376</v>
      </c>
      <c r="G1543" t="s">
        <v>1552</v>
      </c>
      <c r="H1543" t="s">
        <v>3797</v>
      </c>
      <c r="J1543" t="s">
        <v>4222</v>
      </c>
      <c r="K1543">
        <v>11433</v>
      </c>
      <c r="L1543" t="s">
        <v>4275</v>
      </c>
      <c r="M1543" t="s">
        <v>4275</v>
      </c>
      <c r="O1543" t="s">
        <v>4281</v>
      </c>
      <c r="P1543" t="s">
        <v>5681</v>
      </c>
      <c r="Q1543" t="s">
        <v>5732</v>
      </c>
      <c r="R1543" t="s">
        <v>5754</v>
      </c>
      <c r="T1543" t="s">
        <v>4276</v>
      </c>
      <c r="V1543" t="s">
        <v>5767</v>
      </c>
      <c r="X1543" t="s">
        <v>248</v>
      </c>
      <c r="Y1543">
        <v>0</v>
      </c>
      <c r="Z1543" t="s">
        <v>5803</v>
      </c>
      <c r="AA1543" t="s">
        <v>5804</v>
      </c>
      <c r="AC1543" t="s">
        <v>7230</v>
      </c>
      <c r="AE1543" t="s">
        <v>9217</v>
      </c>
      <c r="AF1543">
        <v>2</v>
      </c>
      <c r="AG1543" t="s">
        <v>9269</v>
      </c>
      <c r="AH1543" t="s">
        <v>4280</v>
      </c>
      <c r="AI1543">
        <v>2</v>
      </c>
      <c r="AJ1543">
        <v>1</v>
      </c>
      <c r="AK1543">
        <v>2</v>
      </c>
      <c r="AL1543">
        <v>168.78</v>
      </c>
      <c r="AO1543" t="s">
        <v>1425</v>
      </c>
      <c r="AP1543">
        <v>36000</v>
      </c>
      <c r="AV1543">
        <v>2.05</v>
      </c>
      <c r="AW1543" t="s">
        <v>54</v>
      </c>
    </row>
    <row r="1544" spans="1:49">
      <c r="A1544" s="1">
        <f>HYPERLINK("https://cms.ls-nyc.org/matter/dynamic-profile/view/1892113","19-1892113")</f>
        <v>0</v>
      </c>
      <c r="B1544" t="s">
        <v>80</v>
      </c>
      <c r="C1544" t="s">
        <v>83</v>
      </c>
      <c r="D1544" t="s">
        <v>89</v>
      </c>
      <c r="F1544" t="s">
        <v>1342</v>
      </c>
      <c r="G1544" t="s">
        <v>2451</v>
      </c>
      <c r="H1544" t="s">
        <v>3798</v>
      </c>
      <c r="I1544" t="s">
        <v>3927</v>
      </c>
      <c r="J1544" t="s">
        <v>4222</v>
      </c>
      <c r="K1544">
        <v>11433</v>
      </c>
      <c r="L1544" t="s">
        <v>4275</v>
      </c>
      <c r="M1544" t="s">
        <v>4275</v>
      </c>
      <c r="O1544" t="s">
        <v>4281</v>
      </c>
      <c r="P1544" t="s">
        <v>5682</v>
      </c>
      <c r="Q1544" t="s">
        <v>5732</v>
      </c>
      <c r="R1544" t="s">
        <v>5751</v>
      </c>
      <c r="T1544" t="s">
        <v>4276</v>
      </c>
      <c r="V1544" t="s">
        <v>5767</v>
      </c>
      <c r="X1544" t="s">
        <v>89</v>
      </c>
      <c r="Y1544">
        <v>850</v>
      </c>
      <c r="Z1544" t="s">
        <v>5803</v>
      </c>
      <c r="AA1544" t="s">
        <v>5805</v>
      </c>
      <c r="AC1544" t="s">
        <v>7231</v>
      </c>
      <c r="AE1544" t="s">
        <v>9218</v>
      </c>
      <c r="AF1544">
        <v>0</v>
      </c>
      <c r="AG1544" t="s">
        <v>9270</v>
      </c>
      <c r="AH1544" t="s">
        <v>4280</v>
      </c>
      <c r="AI1544">
        <v>1</v>
      </c>
      <c r="AJ1544">
        <v>2</v>
      </c>
      <c r="AK1544">
        <v>1</v>
      </c>
      <c r="AL1544">
        <v>170.65</v>
      </c>
      <c r="AO1544" t="s">
        <v>1425</v>
      </c>
      <c r="AP1544">
        <v>36400</v>
      </c>
      <c r="AV1544">
        <v>10.6</v>
      </c>
      <c r="AW1544" t="s">
        <v>54</v>
      </c>
    </row>
    <row r="1545" spans="1:49">
      <c r="A1545" s="1">
        <f>HYPERLINK("https://cms.ls-nyc.org/matter/dynamic-profile/view/1884793","18-1884793")</f>
        <v>0</v>
      </c>
      <c r="B1545" t="s">
        <v>80</v>
      </c>
      <c r="C1545" t="s">
        <v>82</v>
      </c>
      <c r="D1545" t="s">
        <v>108</v>
      </c>
      <c r="E1545" t="s">
        <v>313</v>
      </c>
      <c r="F1545" t="s">
        <v>1343</v>
      </c>
      <c r="G1545" t="s">
        <v>2452</v>
      </c>
      <c r="H1545" t="s">
        <v>3799</v>
      </c>
      <c r="J1545" t="s">
        <v>4222</v>
      </c>
      <c r="K1545">
        <v>11434</v>
      </c>
      <c r="L1545" t="s">
        <v>4275</v>
      </c>
      <c r="M1545" t="s">
        <v>4275</v>
      </c>
      <c r="O1545" t="s">
        <v>4281</v>
      </c>
      <c r="P1545" t="s">
        <v>5683</v>
      </c>
      <c r="Q1545" t="s">
        <v>5732</v>
      </c>
      <c r="R1545" t="s">
        <v>5751</v>
      </c>
      <c r="S1545" t="s">
        <v>5758</v>
      </c>
      <c r="T1545" t="s">
        <v>4276</v>
      </c>
      <c r="V1545" t="s">
        <v>5767</v>
      </c>
      <c r="W1545" t="s">
        <v>5772</v>
      </c>
      <c r="X1545" t="s">
        <v>108</v>
      </c>
      <c r="Y1545">
        <v>0</v>
      </c>
      <c r="Z1545" t="s">
        <v>5803</v>
      </c>
      <c r="AB1545" t="s">
        <v>5822</v>
      </c>
      <c r="AC1545" t="s">
        <v>7232</v>
      </c>
      <c r="AE1545" t="s">
        <v>9219</v>
      </c>
      <c r="AF1545">
        <v>1</v>
      </c>
      <c r="AG1545" t="s">
        <v>9269</v>
      </c>
      <c r="AI1545">
        <v>29</v>
      </c>
      <c r="AJ1545">
        <v>1</v>
      </c>
      <c r="AK1545">
        <v>0</v>
      </c>
      <c r="AL1545">
        <v>171.33</v>
      </c>
      <c r="AO1545" t="s">
        <v>1425</v>
      </c>
      <c r="AP1545">
        <v>20800</v>
      </c>
      <c r="AR1545" t="s">
        <v>9329</v>
      </c>
      <c r="AS1545" t="s">
        <v>9348</v>
      </c>
      <c r="AT1545" t="s">
        <v>9370</v>
      </c>
      <c r="AU1545" t="s">
        <v>9407</v>
      </c>
      <c r="AV1545">
        <v>5.9</v>
      </c>
      <c r="AW1545" t="s">
        <v>60</v>
      </c>
    </row>
    <row r="1546" spans="1:49">
      <c r="A1546" s="1">
        <f>HYPERLINK("https://cms.ls-nyc.org/matter/dynamic-profile/view/1896491","19-1896491")</f>
        <v>0</v>
      </c>
      <c r="B1546" t="s">
        <v>80</v>
      </c>
      <c r="C1546" t="s">
        <v>83</v>
      </c>
      <c r="D1546" t="s">
        <v>248</v>
      </c>
      <c r="F1546" t="s">
        <v>1344</v>
      </c>
      <c r="G1546" t="s">
        <v>1736</v>
      </c>
      <c r="H1546" t="s">
        <v>3800</v>
      </c>
      <c r="I1546">
        <v>229</v>
      </c>
      <c r="J1546" t="s">
        <v>4240</v>
      </c>
      <c r="K1546">
        <v>11373</v>
      </c>
      <c r="L1546" t="s">
        <v>4275</v>
      </c>
      <c r="M1546" t="s">
        <v>4275</v>
      </c>
      <c r="N1546" t="s">
        <v>4278</v>
      </c>
      <c r="O1546" t="s">
        <v>4281</v>
      </c>
      <c r="P1546" t="s">
        <v>5684</v>
      </c>
      <c r="Q1546" t="s">
        <v>5731</v>
      </c>
      <c r="R1546" t="s">
        <v>5751</v>
      </c>
      <c r="T1546" t="s">
        <v>4276</v>
      </c>
      <c r="V1546" t="s">
        <v>5767</v>
      </c>
      <c r="X1546" t="s">
        <v>248</v>
      </c>
      <c r="Y1546">
        <v>1224</v>
      </c>
      <c r="Z1546" t="s">
        <v>5803</v>
      </c>
      <c r="AA1546" t="s">
        <v>5804</v>
      </c>
      <c r="AC1546" t="s">
        <v>7145</v>
      </c>
      <c r="AD1546" t="s">
        <v>7830</v>
      </c>
      <c r="AE1546" t="s">
        <v>9220</v>
      </c>
      <c r="AF1546">
        <v>0</v>
      </c>
      <c r="AG1546" t="s">
        <v>9270</v>
      </c>
      <c r="AH1546" t="s">
        <v>4280</v>
      </c>
      <c r="AI1546">
        <v>2</v>
      </c>
      <c r="AJ1546">
        <v>1</v>
      </c>
      <c r="AK1546">
        <v>1</v>
      </c>
      <c r="AL1546">
        <v>173.72</v>
      </c>
      <c r="AO1546" t="s">
        <v>1425</v>
      </c>
      <c r="AP1546">
        <v>29376</v>
      </c>
      <c r="AV1546">
        <v>22.1</v>
      </c>
      <c r="AW1546" t="s">
        <v>54</v>
      </c>
    </row>
    <row r="1547" spans="1:49">
      <c r="A1547" s="1">
        <f>HYPERLINK("https://cms.ls-nyc.org/matter/dynamic-profile/view/1899348","19-1899348")</f>
        <v>0</v>
      </c>
      <c r="B1547" t="s">
        <v>80</v>
      </c>
      <c r="C1547" t="s">
        <v>83</v>
      </c>
      <c r="D1547" t="s">
        <v>104</v>
      </c>
      <c r="F1547" t="s">
        <v>1345</v>
      </c>
      <c r="G1547" t="s">
        <v>707</v>
      </c>
      <c r="H1547" t="s">
        <v>3801</v>
      </c>
      <c r="I1547" t="s">
        <v>3867</v>
      </c>
      <c r="J1547" t="s">
        <v>4222</v>
      </c>
      <c r="K1547">
        <v>11435</v>
      </c>
      <c r="L1547" t="s">
        <v>4275</v>
      </c>
      <c r="M1547" t="s">
        <v>4277</v>
      </c>
      <c r="N1547" t="s">
        <v>4278</v>
      </c>
      <c r="O1547" t="s">
        <v>4282</v>
      </c>
      <c r="P1547" t="s">
        <v>5685</v>
      </c>
      <c r="Q1547" t="s">
        <v>5732</v>
      </c>
      <c r="R1547" t="s">
        <v>5752</v>
      </c>
      <c r="T1547" t="s">
        <v>4276</v>
      </c>
      <c r="V1547" t="s">
        <v>5767</v>
      </c>
      <c r="X1547" t="s">
        <v>104</v>
      </c>
      <c r="Y1547">
        <v>700</v>
      </c>
      <c r="Z1547" t="s">
        <v>5803</v>
      </c>
      <c r="AA1547" t="s">
        <v>5804</v>
      </c>
      <c r="AC1547" t="s">
        <v>6215</v>
      </c>
      <c r="AE1547" t="s">
        <v>9221</v>
      </c>
      <c r="AF1547">
        <v>1</v>
      </c>
      <c r="AG1547" t="s">
        <v>9270</v>
      </c>
      <c r="AH1547" t="s">
        <v>4280</v>
      </c>
      <c r="AI1547">
        <v>5</v>
      </c>
      <c r="AJ1547">
        <v>1</v>
      </c>
      <c r="AK1547">
        <v>1</v>
      </c>
      <c r="AL1547">
        <v>177.41</v>
      </c>
      <c r="AO1547" t="s">
        <v>1425</v>
      </c>
      <c r="AP1547">
        <v>30000</v>
      </c>
      <c r="AV1547">
        <v>1.05</v>
      </c>
      <c r="AW1547" t="s">
        <v>54</v>
      </c>
    </row>
    <row r="1548" spans="1:49">
      <c r="A1548" s="1">
        <f>HYPERLINK("https://cms.ls-nyc.org/matter/dynamic-profile/view/1888183","19-1888183")</f>
        <v>0</v>
      </c>
      <c r="B1548" t="s">
        <v>80</v>
      </c>
      <c r="C1548" t="s">
        <v>82</v>
      </c>
      <c r="D1548" t="s">
        <v>144</v>
      </c>
      <c r="E1548" t="s">
        <v>95</v>
      </c>
      <c r="F1548" t="s">
        <v>1005</v>
      </c>
      <c r="G1548" t="s">
        <v>2425</v>
      </c>
      <c r="H1548" t="s">
        <v>3802</v>
      </c>
      <c r="I1548" t="s">
        <v>3891</v>
      </c>
      <c r="J1548" t="s">
        <v>4222</v>
      </c>
      <c r="K1548">
        <v>11434</v>
      </c>
      <c r="L1548" t="s">
        <v>4275</v>
      </c>
      <c r="M1548" t="s">
        <v>4275</v>
      </c>
      <c r="N1548" t="s">
        <v>4278</v>
      </c>
      <c r="O1548" t="s">
        <v>4281</v>
      </c>
      <c r="P1548" t="s">
        <v>4666</v>
      </c>
      <c r="Q1548" t="s">
        <v>5731</v>
      </c>
      <c r="R1548" t="s">
        <v>5751</v>
      </c>
      <c r="S1548" t="s">
        <v>5758</v>
      </c>
      <c r="T1548" t="s">
        <v>4275</v>
      </c>
      <c r="V1548" t="s">
        <v>5768</v>
      </c>
      <c r="W1548" t="s">
        <v>5772</v>
      </c>
      <c r="X1548" t="s">
        <v>144</v>
      </c>
      <c r="Y1548">
        <v>917.45</v>
      </c>
      <c r="Z1548" t="s">
        <v>5803</v>
      </c>
      <c r="AA1548" t="s">
        <v>5805</v>
      </c>
      <c r="AB1548" t="s">
        <v>5820</v>
      </c>
      <c r="AC1548" t="s">
        <v>7233</v>
      </c>
      <c r="AE1548" t="s">
        <v>9222</v>
      </c>
      <c r="AF1548">
        <v>91</v>
      </c>
      <c r="AI1548">
        <v>45</v>
      </c>
      <c r="AJ1548">
        <v>2</v>
      </c>
      <c r="AK1548">
        <v>0</v>
      </c>
      <c r="AL1548">
        <v>182.38</v>
      </c>
      <c r="AO1548" t="s">
        <v>1425</v>
      </c>
      <c r="AP1548">
        <v>30020</v>
      </c>
      <c r="AR1548" t="s">
        <v>9329</v>
      </c>
      <c r="AS1548" t="s">
        <v>9336</v>
      </c>
      <c r="AT1548" t="s">
        <v>9369</v>
      </c>
      <c r="AU1548" t="s">
        <v>9377</v>
      </c>
      <c r="AV1548">
        <v>8.9</v>
      </c>
      <c r="AW1548" t="s">
        <v>60</v>
      </c>
    </row>
    <row r="1549" spans="1:49">
      <c r="A1549" s="1">
        <f>HYPERLINK("https://cms.ls-nyc.org/matter/dynamic-profile/view/1889652","19-1889652")</f>
        <v>0</v>
      </c>
      <c r="B1549" t="s">
        <v>80</v>
      </c>
      <c r="C1549" t="s">
        <v>83</v>
      </c>
      <c r="D1549" t="s">
        <v>244</v>
      </c>
      <c r="F1549" t="s">
        <v>1346</v>
      </c>
      <c r="G1549" t="s">
        <v>2453</v>
      </c>
      <c r="H1549" t="s">
        <v>2588</v>
      </c>
      <c r="I1549" t="s">
        <v>4213</v>
      </c>
      <c r="J1549" t="s">
        <v>4222</v>
      </c>
      <c r="K1549">
        <v>11434</v>
      </c>
      <c r="L1549" t="s">
        <v>4275</v>
      </c>
      <c r="M1549" t="s">
        <v>4275</v>
      </c>
      <c r="O1549" t="s">
        <v>4282</v>
      </c>
      <c r="R1549" t="s">
        <v>5751</v>
      </c>
      <c r="T1549" t="s">
        <v>4276</v>
      </c>
      <c r="V1549" t="s">
        <v>5767</v>
      </c>
      <c r="X1549" t="s">
        <v>244</v>
      </c>
      <c r="Y1549">
        <v>480</v>
      </c>
      <c r="Z1549" t="s">
        <v>5803</v>
      </c>
      <c r="AA1549" t="s">
        <v>5805</v>
      </c>
      <c r="AC1549" t="s">
        <v>7234</v>
      </c>
      <c r="AE1549" t="s">
        <v>9223</v>
      </c>
      <c r="AF1549">
        <v>0</v>
      </c>
      <c r="AH1549" t="s">
        <v>4280</v>
      </c>
      <c r="AI1549">
        <v>38</v>
      </c>
      <c r="AJ1549">
        <v>1</v>
      </c>
      <c r="AK1549">
        <v>0</v>
      </c>
      <c r="AL1549">
        <v>192.15</v>
      </c>
      <c r="AO1549" t="s">
        <v>1425</v>
      </c>
      <c r="AP1549">
        <v>24000</v>
      </c>
      <c r="AV1549">
        <v>11.11</v>
      </c>
      <c r="AW1549" t="s">
        <v>54</v>
      </c>
    </row>
    <row r="1550" spans="1:49">
      <c r="A1550" s="1">
        <f>HYPERLINK("https://cms.ls-nyc.org/matter/dynamic-profile/view/1880659","18-1880659")</f>
        <v>0</v>
      </c>
      <c r="B1550" t="s">
        <v>80</v>
      </c>
      <c r="C1550" t="s">
        <v>82</v>
      </c>
      <c r="D1550" t="s">
        <v>227</v>
      </c>
      <c r="E1550" t="s">
        <v>313</v>
      </c>
      <c r="F1550" t="s">
        <v>333</v>
      </c>
      <c r="G1550" t="s">
        <v>2454</v>
      </c>
      <c r="H1550" t="s">
        <v>3803</v>
      </c>
      <c r="I1550" t="s">
        <v>3864</v>
      </c>
      <c r="J1550" t="s">
        <v>4245</v>
      </c>
      <c r="K1550">
        <v>11418</v>
      </c>
      <c r="L1550" t="s">
        <v>4275</v>
      </c>
      <c r="M1550" t="s">
        <v>4275</v>
      </c>
      <c r="O1550" t="s">
        <v>4282</v>
      </c>
      <c r="P1550" t="s">
        <v>5686</v>
      </c>
      <c r="Q1550" t="s">
        <v>5732</v>
      </c>
      <c r="R1550" t="s">
        <v>5751</v>
      </c>
      <c r="S1550" t="s">
        <v>5758</v>
      </c>
      <c r="T1550" t="s">
        <v>4276</v>
      </c>
      <c r="V1550" t="s">
        <v>5767</v>
      </c>
      <c r="W1550" t="s">
        <v>5772</v>
      </c>
      <c r="X1550" t="s">
        <v>227</v>
      </c>
      <c r="Y1550">
        <v>2400</v>
      </c>
      <c r="Z1550" t="s">
        <v>5803</v>
      </c>
      <c r="AA1550" t="s">
        <v>5804</v>
      </c>
      <c r="AB1550" t="s">
        <v>5822</v>
      </c>
      <c r="AC1550" t="s">
        <v>7235</v>
      </c>
      <c r="AE1550" t="s">
        <v>9224</v>
      </c>
      <c r="AF1550">
        <v>3</v>
      </c>
      <c r="AH1550" t="s">
        <v>9282</v>
      </c>
      <c r="AI1550">
        <v>10</v>
      </c>
      <c r="AJ1550">
        <v>3</v>
      </c>
      <c r="AK1550">
        <v>1</v>
      </c>
      <c r="AL1550">
        <v>198.85</v>
      </c>
      <c r="AO1550" t="s">
        <v>1425</v>
      </c>
      <c r="AP1550">
        <v>49912</v>
      </c>
      <c r="AR1550" t="s">
        <v>9329</v>
      </c>
      <c r="AS1550" t="s">
        <v>9336</v>
      </c>
      <c r="AT1550" t="s">
        <v>9370</v>
      </c>
      <c r="AU1550" t="s">
        <v>9404</v>
      </c>
      <c r="AV1550">
        <v>18.35</v>
      </c>
      <c r="AW1550" t="s">
        <v>73</v>
      </c>
    </row>
    <row r="1551" spans="1:49">
      <c r="A1551" s="1">
        <f>HYPERLINK("https://cms.ls-nyc.org/matter/dynamic-profile/view/1890616","19-1890616")</f>
        <v>0</v>
      </c>
      <c r="B1551" t="s">
        <v>80</v>
      </c>
      <c r="C1551" t="s">
        <v>83</v>
      </c>
      <c r="D1551" t="s">
        <v>109</v>
      </c>
      <c r="F1551" t="s">
        <v>1347</v>
      </c>
      <c r="G1551" t="s">
        <v>2455</v>
      </c>
      <c r="H1551" t="s">
        <v>3170</v>
      </c>
      <c r="J1551" t="s">
        <v>4222</v>
      </c>
      <c r="K1551">
        <v>11434</v>
      </c>
      <c r="L1551" t="s">
        <v>4275</v>
      </c>
      <c r="M1551" t="s">
        <v>4275</v>
      </c>
      <c r="O1551" t="s">
        <v>4281</v>
      </c>
      <c r="P1551" t="s">
        <v>5687</v>
      </c>
      <c r="Q1551" t="s">
        <v>5732</v>
      </c>
      <c r="R1551" t="s">
        <v>5751</v>
      </c>
      <c r="T1551" t="s">
        <v>4276</v>
      </c>
      <c r="V1551" t="s">
        <v>5767</v>
      </c>
      <c r="X1551" t="s">
        <v>101</v>
      </c>
      <c r="Y1551">
        <v>460</v>
      </c>
      <c r="Z1551" t="s">
        <v>5803</v>
      </c>
      <c r="AA1551" t="s">
        <v>5805</v>
      </c>
      <c r="AC1551" t="s">
        <v>7236</v>
      </c>
      <c r="AE1551" t="s">
        <v>9225</v>
      </c>
      <c r="AF1551">
        <v>3</v>
      </c>
      <c r="AG1551" t="s">
        <v>9270</v>
      </c>
      <c r="AH1551" t="s">
        <v>4280</v>
      </c>
      <c r="AI1551">
        <v>2</v>
      </c>
      <c r="AJ1551">
        <v>2</v>
      </c>
      <c r="AK1551">
        <v>1</v>
      </c>
      <c r="AL1551">
        <v>201.59</v>
      </c>
      <c r="AM1551" t="s">
        <v>234</v>
      </c>
      <c r="AN1551" t="s">
        <v>9293</v>
      </c>
      <c r="AO1551" t="s">
        <v>1425</v>
      </c>
      <c r="AP1551">
        <v>43000</v>
      </c>
      <c r="AV1551">
        <v>3.85</v>
      </c>
      <c r="AW1551" t="s">
        <v>54</v>
      </c>
    </row>
    <row r="1552" spans="1:49">
      <c r="A1552" s="1">
        <f>HYPERLINK("https://cms.ls-nyc.org/matter/dynamic-profile/view/1892243","19-1892243")</f>
        <v>0</v>
      </c>
      <c r="B1552" t="s">
        <v>81</v>
      </c>
      <c r="C1552" t="s">
        <v>82</v>
      </c>
      <c r="D1552" t="s">
        <v>160</v>
      </c>
      <c r="E1552" t="s">
        <v>114</v>
      </c>
      <c r="F1552" t="s">
        <v>1348</v>
      </c>
      <c r="G1552" t="s">
        <v>2456</v>
      </c>
      <c r="H1552" t="s">
        <v>3804</v>
      </c>
      <c r="I1552" t="s">
        <v>3860</v>
      </c>
      <c r="J1552" t="s">
        <v>4222</v>
      </c>
      <c r="K1552">
        <v>11435</v>
      </c>
      <c r="L1552" t="s">
        <v>4275</v>
      </c>
      <c r="M1552" t="s">
        <v>4275</v>
      </c>
      <c r="O1552" t="s">
        <v>4282</v>
      </c>
      <c r="P1552" t="s">
        <v>5688</v>
      </c>
      <c r="Q1552" t="s">
        <v>5731</v>
      </c>
      <c r="R1552" t="s">
        <v>5753</v>
      </c>
      <c r="S1552" t="s">
        <v>5759</v>
      </c>
      <c r="T1552" t="s">
        <v>4276</v>
      </c>
      <c r="V1552" t="s">
        <v>5767</v>
      </c>
      <c r="X1552" t="s">
        <v>160</v>
      </c>
      <c r="Y1552">
        <v>1650</v>
      </c>
      <c r="Z1552" t="s">
        <v>5803</v>
      </c>
      <c r="AA1552" t="s">
        <v>5804</v>
      </c>
      <c r="AB1552" t="s">
        <v>5821</v>
      </c>
      <c r="AC1552" t="s">
        <v>7237</v>
      </c>
      <c r="AE1552" t="s">
        <v>9226</v>
      </c>
      <c r="AF1552">
        <v>0</v>
      </c>
      <c r="AH1552" t="s">
        <v>4280</v>
      </c>
      <c r="AI1552">
        <v>-1</v>
      </c>
      <c r="AJ1552">
        <v>1</v>
      </c>
      <c r="AK1552">
        <v>1</v>
      </c>
      <c r="AL1552">
        <v>0</v>
      </c>
      <c r="AO1552" t="s">
        <v>1425</v>
      </c>
      <c r="AP1552">
        <v>0</v>
      </c>
      <c r="AV1552">
        <v>4</v>
      </c>
      <c r="AW1552" t="s">
        <v>54</v>
      </c>
    </row>
    <row r="1553" spans="1:49">
      <c r="A1553" s="1">
        <f>HYPERLINK("https://cms.ls-nyc.org/matter/dynamic-profile/view/1884539","18-1884539")</f>
        <v>0</v>
      </c>
      <c r="B1553" t="s">
        <v>81</v>
      </c>
      <c r="C1553" t="s">
        <v>83</v>
      </c>
      <c r="D1553" t="s">
        <v>142</v>
      </c>
      <c r="F1553" t="s">
        <v>610</v>
      </c>
      <c r="G1553" t="s">
        <v>1663</v>
      </c>
      <c r="H1553" t="s">
        <v>2588</v>
      </c>
      <c r="I1553" t="s">
        <v>3886</v>
      </c>
      <c r="J1553" t="s">
        <v>4222</v>
      </c>
      <c r="K1553">
        <v>11434</v>
      </c>
      <c r="L1553" t="s">
        <v>4275</v>
      </c>
      <c r="M1553" t="s">
        <v>4275</v>
      </c>
      <c r="O1553" t="s">
        <v>4281</v>
      </c>
      <c r="P1553" t="s">
        <v>5689</v>
      </c>
      <c r="Q1553" t="s">
        <v>5731</v>
      </c>
      <c r="R1553" t="s">
        <v>5751</v>
      </c>
      <c r="V1553" t="s">
        <v>5768</v>
      </c>
      <c r="X1553" t="s">
        <v>149</v>
      </c>
      <c r="Y1553">
        <v>0</v>
      </c>
      <c r="Z1553" t="s">
        <v>5803</v>
      </c>
      <c r="AA1553" t="s">
        <v>5805</v>
      </c>
      <c r="AC1553" t="s">
        <v>7238</v>
      </c>
      <c r="AE1553" t="s">
        <v>9227</v>
      </c>
      <c r="AF1553">
        <v>0</v>
      </c>
      <c r="AG1553" t="s">
        <v>9271</v>
      </c>
      <c r="AI1553">
        <v>4</v>
      </c>
      <c r="AJ1553">
        <v>2</v>
      </c>
      <c r="AK1553">
        <v>2</v>
      </c>
      <c r="AL1553">
        <v>0</v>
      </c>
      <c r="AO1553" t="s">
        <v>1425</v>
      </c>
      <c r="AP1553">
        <v>0</v>
      </c>
      <c r="AV1553">
        <v>26.3</v>
      </c>
      <c r="AW1553" t="s">
        <v>54</v>
      </c>
    </row>
    <row r="1554" spans="1:49">
      <c r="A1554" s="1">
        <f>HYPERLINK("https://cms.ls-nyc.org/matter/dynamic-profile/view/1874884","18-1874884")</f>
        <v>0</v>
      </c>
      <c r="B1554" t="s">
        <v>81</v>
      </c>
      <c r="C1554" t="s">
        <v>83</v>
      </c>
      <c r="D1554" t="s">
        <v>85</v>
      </c>
      <c r="F1554" t="s">
        <v>1349</v>
      </c>
      <c r="G1554" t="s">
        <v>2457</v>
      </c>
      <c r="H1554" t="s">
        <v>3309</v>
      </c>
      <c r="I1554" t="s">
        <v>3927</v>
      </c>
      <c r="J1554" t="s">
        <v>4222</v>
      </c>
      <c r="K1554">
        <v>11433</v>
      </c>
      <c r="L1554" t="s">
        <v>4275</v>
      </c>
      <c r="M1554" t="s">
        <v>4275</v>
      </c>
      <c r="O1554" t="s">
        <v>4281</v>
      </c>
      <c r="P1554" t="s">
        <v>5119</v>
      </c>
      <c r="Q1554" t="s">
        <v>5732</v>
      </c>
      <c r="R1554" t="s">
        <v>5751</v>
      </c>
      <c r="T1554" t="s">
        <v>4276</v>
      </c>
      <c r="V1554" t="s">
        <v>5767</v>
      </c>
      <c r="W1554" t="s">
        <v>5772</v>
      </c>
      <c r="X1554" t="s">
        <v>85</v>
      </c>
      <c r="Y1554">
        <v>300</v>
      </c>
      <c r="Z1554" t="s">
        <v>5803</v>
      </c>
      <c r="AA1554" t="s">
        <v>5804</v>
      </c>
      <c r="AC1554" t="s">
        <v>7239</v>
      </c>
      <c r="AD1554" t="s">
        <v>7831</v>
      </c>
      <c r="AE1554" t="s">
        <v>9228</v>
      </c>
      <c r="AF1554">
        <v>4</v>
      </c>
      <c r="AG1554" t="s">
        <v>9269</v>
      </c>
      <c r="AH1554" t="s">
        <v>4280</v>
      </c>
      <c r="AI1554">
        <v>4</v>
      </c>
      <c r="AJ1554">
        <v>1</v>
      </c>
      <c r="AK1554">
        <v>0</v>
      </c>
      <c r="AL1554">
        <v>0</v>
      </c>
      <c r="AO1554" t="s">
        <v>9304</v>
      </c>
      <c r="AP1554">
        <v>0</v>
      </c>
      <c r="AV1554">
        <v>27.95</v>
      </c>
      <c r="AW1554" t="s">
        <v>54</v>
      </c>
    </row>
    <row r="1555" spans="1:49">
      <c r="A1555" s="1">
        <f>HYPERLINK("https://cms.ls-nyc.org/matter/dynamic-profile/view/1884950","18-1884950")</f>
        <v>0</v>
      </c>
      <c r="B1555" t="s">
        <v>81</v>
      </c>
      <c r="C1555" t="s">
        <v>82</v>
      </c>
      <c r="D1555" t="s">
        <v>190</v>
      </c>
      <c r="E1555" t="s">
        <v>282</v>
      </c>
      <c r="F1555" t="s">
        <v>1302</v>
      </c>
      <c r="G1555" t="s">
        <v>2458</v>
      </c>
      <c r="H1555" t="s">
        <v>3805</v>
      </c>
      <c r="I1555" t="s">
        <v>3849</v>
      </c>
      <c r="J1555" t="s">
        <v>4249</v>
      </c>
      <c r="K1555">
        <v>11429</v>
      </c>
      <c r="L1555" t="s">
        <v>4275</v>
      </c>
      <c r="M1555" t="s">
        <v>4275</v>
      </c>
      <c r="O1555" t="s">
        <v>4282</v>
      </c>
      <c r="P1555" t="s">
        <v>5690</v>
      </c>
      <c r="Q1555" t="s">
        <v>5732</v>
      </c>
      <c r="R1555" t="s">
        <v>5753</v>
      </c>
      <c r="S1555" t="s">
        <v>5759</v>
      </c>
      <c r="V1555" t="s">
        <v>5767</v>
      </c>
      <c r="W1555" t="s">
        <v>5772</v>
      </c>
      <c r="X1555" t="s">
        <v>190</v>
      </c>
      <c r="Y1555">
        <v>700</v>
      </c>
      <c r="Z1555" t="s">
        <v>5803</v>
      </c>
      <c r="AA1555" t="s">
        <v>5804</v>
      </c>
      <c r="AB1555" t="s">
        <v>5821</v>
      </c>
      <c r="AC1555" t="s">
        <v>7240</v>
      </c>
      <c r="AD1555" t="s">
        <v>7832</v>
      </c>
      <c r="AE1555" t="s">
        <v>9229</v>
      </c>
      <c r="AF1555">
        <v>2</v>
      </c>
      <c r="AG1555" t="s">
        <v>9269</v>
      </c>
      <c r="AH1555" t="s">
        <v>4280</v>
      </c>
      <c r="AI1555">
        <v>1</v>
      </c>
      <c r="AJ1555">
        <v>2</v>
      </c>
      <c r="AK1555">
        <v>2</v>
      </c>
      <c r="AL1555">
        <v>0</v>
      </c>
      <c r="AO1555" t="s">
        <v>1425</v>
      </c>
      <c r="AP1555">
        <v>0</v>
      </c>
      <c r="AV1555">
        <v>3.1</v>
      </c>
      <c r="AW1555" t="s">
        <v>74</v>
      </c>
    </row>
    <row r="1556" spans="1:49">
      <c r="A1556" s="1">
        <f>HYPERLINK("https://cms.ls-nyc.org/matter/dynamic-profile/view/1884650","18-1884650")</f>
        <v>0</v>
      </c>
      <c r="B1556" t="s">
        <v>81</v>
      </c>
      <c r="C1556" t="s">
        <v>82</v>
      </c>
      <c r="D1556" t="s">
        <v>174</v>
      </c>
      <c r="E1556" t="s">
        <v>282</v>
      </c>
      <c r="F1556" t="s">
        <v>1350</v>
      </c>
      <c r="G1556" t="s">
        <v>2459</v>
      </c>
      <c r="H1556" t="s">
        <v>3806</v>
      </c>
      <c r="I1556" t="s">
        <v>3864</v>
      </c>
      <c r="J1556" t="s">
        <v>4231</v>
      </c>
      <c r="K1556">
        <v>11419</v>
      </c>
      <c r="L1556" t="s">
        <v>4275</v>
      </c>
      <c r="M1556" t="s">
        <v>4275</v>
      </c>
      <c r="O1556" t="s">
        <v>4282</v>
      </c>
      <c r="P1556" t="s">
        <v>5691</v>
      </c>
      <c r="Q1556" t="s">
        <v>5731</v>
      </c>
      <c r="R1556" t="s">
        <v>5753</v>
      </c>
      <c r="S1556" t="s">
        <v>5759</v>
      </c>
      <c r="T1556" t="s">
        <v>4276</v>
      </c>
      <c r="V1556" t="s">
        <v>5767</v>
      </c>
      <c r="W1556" t="s">
        <v>5772</v>
      </c>
      <c r="X1556" t="s">
        <v>174</v>
      </c>
      <c r="Y1556">
        <v>850</v>
      </c>
      <c r="Z1556" t="s">
        <v>5803</v>
      </c>
      <c r="AA1556" t="s">
        <v>5804</v>
      </c>
      <c r="AB1556" t="s">
        <v>5821</v>
      </c>
      <c r="AC1556" t="s">
        <v>7241</v>
      </c>
      <c r="AD1556" t="s">
        <v>7833</v>
      </c>
      <c r="AE1556" t="s">
        <v>9230</v>
      </c>
      <c r="AF1556">
        <v>2</v>
      </c>
      <c r="AG1556" t="s">
        <v>9269</v>
      </c>
      <c r="AI1556">
        <v>1</v>
      </c>
      <c r="AJ1556">
        <v>2</v>
      </c>
      <c r="AK1556">
        <v>1</v>
      </c>
      <c r="AL1556">
        <v>0</v>
      </c>
      <c r="AO1556" t="s">
        <v>1425</v>
      </c>
      <c r="AP1556">
        <v>0</v>
      </c>
      <c r="AV1556">
        <v>2</v>
      </c>
      <c r="AW1556" t="s">
        <v>73</v>
      </c>
    </row>
    <row r="1557" spans="1:49">
      <c r="A1557" s="1">
        <f>HYPERLINK("https://cms.ls-nyc.org/matter/dynamic-profile/view/1895165","19-1895165")</f>
        <v>0</v>
      </c>
      <c r="B1557" t="s">
        <v>81</v>
      </c>
      <c r="C1557" t="s">
        <v>83</v>
      </c>
      <c r="D1557" t="s">
        <v>218</v>
      </c>
      <c r="F1557" t="s">
        <v>1351</v>
      </c>
      <c r="G1557" t="s">
        <v>2460</v>
      </c>
      <c r="H1557" t="s">
        <v>3807</v>
      </c>
      <c r="I1557" t="s">
        <v>4214</v>
      </c>
      <c r="J1557" t="s">
        <v>4252</v>
      </c>
      <c r="K1557">
        <v>11374</v>
      </c>
      <c r="L1557" t="s">
        <v>4275</v>
      </c>
      <c r="M1557" t="s">
        <v>4275</v>
      </c>
      <c r="O1557" t="s">
        <v>4282</v>
      </c>
      <c r="P1557" t="s">
        <v>5692</v>
      </c>
      <c r="Q1557" t="s">
        <v>5731</v>
      </c>
      <c r="R1557" t="s">
        <v>5753</v>
      </c>
      <c r="T1557" t="s">
        <v>4276</v>
      </c>
      <c r="V1557" t="s">
        <v>5767</v>
      </c>
      <c r="W1557" t="s">
        <v>5772</v>
      </c>
      <c r="X1557" t="s">
        <v>218</v>
      </c>
      <c r="Y1557">
        <v>1200</v>
      </c>
      <c r="Z1557" t="s">
        <v>5803</v>
      </c>
      <c r="AA1557" t="s">
        <v>5804</v>
      </c>
      <c r="AC1557" t="s">
        <v>7094</v>
      </c>
      <c r="AF1557">
        <v>17</v>
      </c>
      <c r="AG1557" t="s">
        <v>9272</v>
      </c>
      <c r="AI1557">
        <v>28</v>
      </c>
      <c r="AJ1557">
        <v>1</v>
      </c>
      <c r="AK1557">
        <v>0</v>
      </c>
      <c r="AL1557">
        <v>0</v>
      </c>
      <c r="AN1557" t="s">
        <v>9293</v>
      </c>
      <c r="AO1557" t="s">
        <v>1425</v>
      </c>
      <c r="AP1557">
        <v>0</v>
      </c>
      <c r="AV1557">
        <v>3.75</v>
      </c>
      <c r="AW1557" t="s">
        <v>81</v>
      </c>
    </row>
    <row r="1558" spans="1:49">
      <c r="A1558" s="1">
        <f>HYPERLINK("https://cms.ls-nyc.org/matter/dynamic-profile/view/1900572","19-1900572")</f>
        <v>0</v>
      </c>
      <c r="B1558" t="s">
        <v>81</v>
      </c>
      <c r="C1558" t="s">
        <v>83</v>
      </c>
      <c r="D1558" t="s">
        <v>87</v>
      </c>
      <c r="F1558" t="s">
        <v>427</v>
      </c>
      <c r="G1558" t="s">
        <v>1641</v>
      </c>
      <c r="H1558" t="s">
        <v>3808</v>
      </c>
      <c r="I1558" t="s">
        <v>4121</v>
      </c>
      <c r="J1558" t="s">
        <v>4229</v>
      </c>
      <c r="K1558">
        <v>11367</v>
      </c>
      <c r="L1558" t="s">
        <v>4275</v>
      </c>
      <c r="M1558" t="s">
        <v>4277</v>
      </c>
      <c r="N1558" t="s">
        <v>4278</v>
      </c>
      <c r="O1558" t="s">
        <v>4282</v>
      </c>
      <c r="P1558" t="s">
        <v>5693</v>
      </c>
      <c r="Q1558" t="s">
        <v>5732</v>
      </c>
      <c r="R1558" t="s">
        <v>5752</v>
      </c>
      <c r="T1558" t="s">
        <v>4276</v>
      </c>
      <c r="V1558" t="s">
        <v>5767</v>
      </c>
      <c r="X1558" t="s">
        <v>87</v>
      </c>
      <c r="Y1558">
        <v>0</v>
      </c>
      <c r="Z1558" t="s">
        <v>5803</v>
      </c>
      <c r="AA1558" t="s">
        <v>5804</v>
      </c>
      <c r="AC1558" t="s">
        <v>7242</v>
      </c>
      <c r="AE1558" t="s">
        <v>9231</v>
      </c>
      <c r="AF1558">
        <v>45</v>
      </c>
      <c r="AG1558" t="s">
        <v>9270</v>
      </c>
      <c r="AH1558" t="s">
        <v>4280</v>
      </c>
      <c r="AI1558">
        <v>4</v>
      </c>
      <c r="AJ1558">
        <v>2</v>
      </c>
      <c r="AK1558">
        <v>0</v>
      </c>
      <c r="AL1558">
        <v>0</v>
      </c>
      <c r="AO1558" t="s">
        <v>1425</v>
      </c>
      <c r="AP1558">
        <v>0</v>
      </c>
      <c r="AV1558">
        <v>1.1</v>
      </c>
      <c r="AW1558" t="s">
        <v>54</v>
      </c>
    </row>
    <row r="1559" spans="1:49">
      <c r="A1559" s="1">
        <f>HYPERLINK("https://cms.ls-nyc.org/matter/dynamic-profile/view/1883299","18-1883299")</f>
        <v>0</v>
      </c>
      <c r="B1559" t="s">
        <v>81</v>
      </c>
      <c r="C1559" t="s">
        <v>83</v>
      </c>
      <c r="D1559" t="s">
        <v>145</v>
      </c>
      <c r="F1559" t="s">
        <v>1311</v>
      </c>
      <c r="G1559" t="s">
        <v>2461</v>
      </c>
      <c r="H1559" t="s">
        <v>3694</v>
      </c>
      <c r="I1559" t="s">
        <v>3892</v>
      </c>
      <c r="J1559" t="s">
        <v>4234</v>
      </c>
      <c r="K1559">
        <v>11106</v>
      </c>
      <c r="L1559" t="s">
        <v>4275</v>
      </c>
      <c r="M1559" t="s">
        <v>4275</v>
      </c>
      <c r="O1559" t="s">
        <v>4282</v>
      </c>
      <c r="P1559" t="s">
        <v>5629</v>
      </c>
      <c r="Q1559" t="s">
        <v>5731</v>
      </c>
      <c r="R1559" t="s">
        <v>5753</v>
      </c>
      <c r="T1559" t="s">
        <v>4276</v>
      </c>
      <c r="V1559" t="s">
        <v>5767</v>
      </c>
      <c r="W1559" t="s">
        <v>5772</v>
      </c>
      <c r="X1559" t="s">
        <v>145</v>
      </c>
      <c r="Y1559">
        <v>888</v>
      </c>
      <c r="Z1559" t="s">
        <v>5803</v>
      </c>
      <c r="AA1559" t="s">
        <v>5804</v>
      </c>
      <c r="AC1559" t="s">
        <v>7243</v>
      </c>
      <c r="AE1559" t="s">
        <v>9165</v>
      </c>
      <c r="AF1559">
        <v>18</v>
      </c>
      <c r="AG1559" t="s">
        <v>9272</v>
      </c>
      <c r="AH1559" t="s">
        <v>4280</v>
      </c>
      <c r="AI1559">
        <v>5</v>
      </c>
      <c r="AJ1559">
        <v>1</v>
      </c>
      <c r="AK1559">
        <v>2</v>
      </c>
      <c r="AL1559">
        <v>0</v>
      </c>
      <c r="AO1559" t="s">
        <v>1425</v>
      </c>
      <c r="AP1559">
        <v>0</v>
      </c>
      <c r="AV1559">
        <v>2.8</v>
      </c>
      <c r="AW1559" t="s">
        <v>73</v>
      </c>
    </row>
    <row r="1560" spans="1:49">
      <c r="A1560" s="1">
        <f>HYPERLINK("https://cms.ls-nyc.org/matter/dynamic-profile/view/1899530","19-1899530")</f>
        <v>0</v>
      </c>
      <c r="B1560" t="s">
        <v>81</v>
      </c>
      <c r="C1560" t="s">
        <v>83</v>
      </c>
      <c r="D1560" t="s">
        <v>124</v>
      </c>
      <c r="F1560" t="s">
        <v>801</v>
      </c>
      <c r="G1560" t="s">
        <v>1874</v>
      </c>
      <c r="H1560" t="s">
        <v>3053</v>
      </c>
      <c r="J1560" t="s">
        <v>4222</v>
      </c>
      <c r="K1560">
        <v>11434</v>
      </c>
      <c r="L1560" t="s">
        <v>4277</v>
      </c>
      <c r="M1560" t="s">
        <v>4277</v>
      </c>
      <c r="O1560" t="s">
        <v>4281</v>
      </c>
      <c r="P1560" t="s">
        <v>5694</v>
      </c>
      <c r="R1560" t="s">
        <v>5751</v>
      </c>
      <c r="V1560" t="s">
        <v>5767</v>
      </c>
      <c r="Y1560">
        <v>0</v>
      </c>
      <c r="Z1560" t="s">
        <v>5803</v>
      </c>
      <c r="AC1560" t="s">
        <v>6400</v>
      </c>
      <c r="AD1560" t="s">
        <v>7529</v>
      </c>
      <c r="AF1560">
        <v>0</v>
      </c>
      <c r="AI1560">
        <v>0</v>
      </c>
      <c r="AJ1560">
        <v>1</v>
      </c>
      <c r="AK1560">
        <v>4</v>
      </c>
      <c r="AL1560">
        <v>20.68</v>
      </c>
      <c r="AP1560">
        <v>6240</v>
      </c>
      <c r="AV1560">
        <v>16.5</v>
      </c>
      <c r="AW1560" t="s">
        <v>62</v>
      </c>
    </row>
    <row r="1561" spans="1:49">
      <c r="A1561" s="1">
        <f>HYPERLINK("https://cms.ls-nyc.org/matter/dynamic-profile/view/1885578","18-1885578")</f>
        <v>0</v>
      </c>
      <c r="B1561" t="s">
        <v>81</v>
      </c>
      <c r="C1561" t="s">
        <v>83</v>
      </c>
      <c r="D1561" t="s">
        <v>187</v>
      </c>
      <c r="F1561" t="s">
        <v>376</v>
      </c>
      <c r="G1561" t="s">
        <v>2462</v>
      </c>
      <c r="H1561" t="s">
        <v>3809</v>
      </c>
      <c r="I1561" t="s">
        <v>3902</v>
      </c>
      <c r="J1561" t="s">
        <v>4241</v>
      </c>
      <c r="K1561">
        <v>11368</v>
      </c>
      <c r="L1561" t="s">
        <v>4275</v>
      </c>
      <c r="M1561" t="s">
        <v>4275</v>
      </c>
      <c r="O1561" t="s">
        <v>4282</v>
      </c>
      <c r="P1561" t="s">
        <v>5695</v>
      </c>
      <c r="Q1561" t="s">
        <v>5732</v>
      </c>
      <c r="R1561" t="s">
        <v>5753</v>
      </c>
      <c r="T1561" t="s">
        <v>4276</v>
      </c>
      <c r="V1561" t="s">
        <v>5767</v>
      </c>
      <c r="W1561" t="s">
        <v>5772</v>
      </c>
      <c r="X1561" t="s">
        <v>187</v>
      </c>
      <c r="Y1561">
        <v>1725</v>
      </c>
      <c r="Z1561" t="s">
        <v>5803</v>
      </c>
      <c r="AA1561" t="s">
        <v>5804</v>
      </c>
      <c r="AC1561" t="s">
        <v>6197</v>
      </c>
      <c r="AD1561" t="s">
        <v>7834</v>
      </c>
      <c r="AE1561" t="s">
        <v>7289</v>
      </c>
      <c r="AF1561">
        <v>4</v>
      </c>
      <c r="AG1561" t="s">
        <v>9269</v>
      </c>
      <c r="AH1561" t="s">
        <v>4280</v>
      </c>
      <c r="AI1561">
        <v>10</v>
      </c>
      <c r="AJ1561">
        <v>4</v>
      </c>
      <c r="AK1561">
        <v>2</v>
      </c>
      <c r="AL1561">
        <v>30.82</v>
      </c>
      <c r="AO1561" t="s">
        <v>9298</v>
      </c>
      <c r="AP1561">
        <v>10400</v>
      </c>
      <c r="AV1561">
        <v>5.3</v>
      </c>
      <c r="AW1561" t="s">
        <v>73</v>
      </c>
    </row>
    <row r="1562" spans="1:49">
      <c r="A1562" s="1">
        <f>HYPERLINK("https://cms.ls-nyc.org/matter/dynamic-profile/view/1894521","19-1894521")</f>
        <v>0</v>
      </c>
      <c r="B1562" t="s">
        <v>81</v>
      </c>
      <c r="C1562" t="s">
        <v>83</v>
      </c>
      <c r="D1562" t="s">
        <v>169</v>
      </c>
      <c r="F1562" t="s">
        <v>426</v>
      </c>
      <c r="G1562" t="s">
        <v>2463</v>
      </c>
      <c r="H1562" t="s">
        <v>2722</v>
      </c>
      <c r="I1562" t="s">
        <v>3932</v>
      </c>
      <c r="J1562" t="s">
        <v>4222</v>
      </c>
      <c r="K1562">
        <v>11435</v>
      </c>
      <c r="L1562" t="s">
        <v>4275</v>
      </c>
      <c r="M1562" t="s">
        <v>4275</v>
      </c>
      <c r="O1562" t="s">
        <v>4282</v>
      </c>
      <c r="P1562" t="s">
        <v>5696</v>
      </c>
      <c r="Q1562" t="s">
        <v>5731</v>
      </c>
      <c r="R1562" t="s">
        <v>5751</v>
      </c>
      <c r="T1562" t="s">
        <v>4276</v>
      </c>
      <c r="V1562" t="s">
        <v>5767</v>
      </c>
      <c r="X1562" t="s">
        <v>169</v>
      </c>
      <c r="Y1562">
        <v>1080</v>
      </c>
      <c r="Z1562" t="s">
        <v>5803</v>
      </c>
      <c r="AA1562" t="s">
        <v>5804</v>
      </c>
      <c r="AC1562" t="s">
        <v>7244</v>
      </c>
      <c r="AE1562" t="s">
        <v>9232</v>
      </c>
      <c r="AF1562">
        <v>0</v>
      </c>
      <c r="AG1562" t="s">
        <v>9270</v>
      </c>
      <c r="AH1562" t="s">
        <v>4280</v>
      </c>
      <c r="AI1562">
        <v>25</v>
      </c>
      <c r="AJ1562">
        <v>1</v>
      </c>
      <c r="AK1562">
        <v>0</v>
      </c>
      <c r="AL1562">
        <v>32.03</v>
      </c>
      <c r="AO1562" t="s">
        <v>9298</v>
      </c>
      <c r="AP1562">
        <v>4000</v>
      </c>
      <c r="AV1562">
        <v>69.2</v>
      </c>
      <c r="AW1562" t="s">
        <v>54</v>
      </c>
    </row>
    <row r="1563" spans="1:49">
      <c r="A1563" s="1">
        <f>HYPERLINK("https://cms.ls-nyc.org/matter/dynamic-profile/view/1890903","19-1890903")</f>
        <v>0</v>
      </c>
      <c r="B1563" t="s">
        <v>81</v>
      </c>
      <c r="C1563" t="s">
        <v>83</v>
      </c>
      <c r="D1563" t="s">
        <v>98</v>
      </c>
      <c r="F1563" t="s">
        <v>1352</v>
      </c>
      <c r="G1563" t="s">
        <v>2464</v>
      </c>
      <c r="H1563" t="s">
        <v>3810</v>
      </c>
      <c r="I1563" t="s">
        <v>3884</v>
      </c>
      <c r="J1563" t="s">
        <v>4222</v>
      </c>
      <c r="K1563">
        <v>11433</v>
      </c>
      <c r="L1563" t="s">
        <v>4275</v>
      </c>
      <c r="M1563" t="s">
        <v>4275</v>
      </c>
      <c r="O1563" t="s">
        <v>4281</v>
      </c>
      <c r="P1563" t="s">
        <v>5697</v>
      </c>
      <c r="Q1563" t="s">
        <v>5731</v>
      </c>
      <c r="R1563" t="s">
        <v>5751</v>
      </c>
      <c r="T1563" t="s">
        <v>4276</v>
      </c>
      <c r="V1563" t="s">
        <v>5767</v>
      </c>
      <c r="W1563" t="s">
        <v>5772</v>
      </c>
      <c r="X1563" t="s">
        <v>98</v>
      </c>
      <c r="Y1563">
        <v>1956</v>
      </c>
      <c r="Z1563" t="s">
        <v>5803</v>
      </c>
      <c r="AA1563" t="s">
        <v>5804</v>
      </c>
      <c r="AC1563" t="s">
        <v>7245</v>
      </c>
      <c r="AD1563" t="s">
        <v>7835</v>
      </c>
      <c r="AE1563" t="s">
        <v>9233</v>
      </c>
      <c r="AF1563">
        <v>2</v>
      </c>
      <c r="AG1563" t="s">
        <v>9269</v>
      </c>
      <c r="AH1563" t="s">
        <v>4280</v>
      </c>
      <c r="AI1563">
        <v>1</v>
      </c>
      <c r="AJ1563">
        <v>2</v>
      </c>
      <c r="AK1563">
        <v>4</v>
      </c>
      <c r="AL1563">
        <v>45.79</v>
      </c>
      <c r="AO1563" t="s">
        <v>1425</v>
      </c>
      <c r="AP1563">
        <v>15840</v>
      </c>
      <c r="AV1563">
        <v>95.55</v>
      </c>
      <c r="AW1563" t="s">
        <v>73</v>
      </c>
    </row>
    <row r="1564" spans="1:49">
      <c r="A1564" s="1">
        <f>HYPERLINK("https://cms.ls-nyc.org/matter/dynamic-profile/view/1894697","19-1894697")</f>
        <v>0</v>
      </c>
      <c r="B1564" t="s">
        <v>81</v>
      </c>
      <c r="C1564" t="s">
        <v>83</v>
      </c>
      <c r="D1564" t="s">
        <v>200</v>
      </c>
      <c r="F1564" t="s">
        <v>1353</v>
      </c>
      <c r="G1564" t="s">
        <v>2465</v>
      </c>
      <c r="H1564" t="s">
        <v>3811</v>
      </c>
      <c r="J1564" t="s">
        <v>4222</v>
      </c>
      <c r="K1564">
        <v>11434</v>
      </c>
      <c r="L1564" t="s">
        <v>4275</v>
      </c>
      <c r="M1564" t="s">
        <v>4275</v>
      </c>
      <c r="O1564" t="s">
        <v>4281</v>
      </c>
      <c r="P1564" t="s">
        <v>5698</v>
      </c>
      <c r="Q1564" t="s">
        <v>5732</v>
      </c>
      <c r="R1564" t="s">
        <v>5751</v>
      </c>
      <c r="T1564" t="s">
        <v>4276</v>
      </c>
      <c r="V1564" t="s">
        <v>5767</v>
      </c>
      <c r="W1564" t="s">
        <v>5771</v>
      </c>
      <c r="X1564" t="s">
        <v>200</v>
      </c>
      <c r="Y1564">
        <v>150</v>
      </c>
      <c r="Z1564" t="s">
        <v>5803</v>
      </c>
      <c r="AA1564" t="s">
        <v>5805</v>
      </c>
      <c r="AC1564" t="s">
        <v>7246</v>
      </c>
      <c r="AE1564" t="s">
        <v>9234</v>
      </c>
      <c r="AF1564">
        <v>3</v>
      </c>
      <c r="AG1564" t="s">
        <v>9269</v>
      </c>
      <c r="AH1564" t="s">
        <v>4280</v>
      </c>
      <c r="AI1564">
        <v>-1</v>
      </c>
      <c r="AJ1564">
        <v>1</v>
      </c>
      <c r="AK1564">
        <v>0</v>
      </c>
      <c r="AL1564">
        <v>49.96</v>
      </c>
      <c r="AO1564" t="s">
        <v>1425</v>
      </c>
      <c r="AP1564">
        <v>6240</v>
      </c>
      <c r="AV1564">
        <v>20.1</v>
      </c>
      <c r="AW1564" t="s">
        <v>56</v>
      </c>
    </row>
    <row r="1565" spans="1:49">
      <c r="A1565" s="1">
        <f>HYPERLINK("https://cms.ls-nyc.org/matter/dynamic-profile/view/1882157","18-1882157")</f>
        <v>0</v>
      </c>
      <c r="B1565" t="s">
        <v>81</v>
      </c>
      <c r="C1565" t="s">
        <v>82</v>
      </c>
      <c r="D1565" t="s">
        <v>130</v>
      </c>
      <c r="E1565" t="s">
        <v>282</v>
      </c>
      <c r="F1565" t="s">
        <v>1226</v>
      </c>
      <c r="G1565" t="s">
        <v>2466</v>
      </c>
      <c r="H1565" t="s">
        <v>3812</v>
      </c>
      <c r="I1565" t="s">
        <v>3891</v>
      </c>
      <c r="J1565" t="s">
        <v>4227</v>
      </c>
      <c r="K1565">
        <v>11365</v>
      </c>
      <c r="L1565" t="s">
        <v>4275</v>
      </c>
      <c r="M1565" t="s">
        <v>4275</v>
      </c>
      <c r="O1565" t="s">
        <v>4282</v>
      </c>
      <c r="P1565" t="s">
        <v>5699</v>
      </c>
      <c r="Q1565" t="s">
        <v>5731</v>
      </c>
      <c r="R1565" t="s">
        <v>5753</v>
      </c>
      <c r="S1565" t="s">
        <v>5759</v>
      </c>
      <c r="V1565" t="s">
        <v>5767</v>
      </c>
      <c r="X1565" t="s">
        <v>281</v>
      </c>
      <c r="Y1565">
        <v>272</v>
      </c>
      <c r="Z1565" t="s">
        <v>5803</v>
      </c>
      <c r="AA1565" t="s">
        <v>5804</v>
      </c>
      <c r="AB1565" t="s">
        <v>5821</v>
      </c>
      <c r="AC1565" t="s">
        <v>7247</v>
      </c>
      <c r="AD1565" t="s">
        <v>7836</v>
      </c>
      <c r="AE1565" t="s">
        <v>9235</v>
      </c>
      <c r="AF1565">
        <v>28</v>
      </c>
      <c r="AG1565" t="s">
        <v>9271</v>
      </c>
      <c r="AH1565" t="s">
        <v>4280</v>
      </c>
      <c r="AI1565">
        <v>3</v>
      </c>
      <c r="AJ1565">
        <v>2</v>
      </c>
      <c r="AK1565">
        <v>1</v>
      </c>
      <c r="AL1565">
        <v>50.47</v>
      </c>
      <c r="AP1565">
        <v>10488</v>
      </c>
      <c r="AV1565">
        <v>2.2</v>
      </c>
      <c r="AW1565" t="s">
        <v>74</v>
      </c>
    </row>
    <row r="1566" spans="1:49">
      <c r="A1566" s="1">
        <f>HYPERLINK("https://cms.ls-nyc.org/matter/dynamic-profile/view/1892317","19-1892317")</f>
        <v>0</v>
      </c>
      <c r="B1566" t="s">
        <v>81</v>
      </c>
      <c r="C1566" t="s">
        <v>83</v>
      </c>
      <c r="D1566" t="s">
        <v>160</v>
      </c>
      <c r="F1566" t="s">
        <v>483</v>
      </c>
      <c r="G1566" t="s">
        <v>2467</v>
      </c>
      <c r="H1566" t="s">
        <v>3813</v>
      </c>
      <c r="I1566" t="s">
        <v>4215</v>
      </c>
      <c r="J1566" t="s">
        <v>4265</v>
      </c>
      <c r="K1566">
        <v>11357</v>
      </c>
      <c r="L1566" t="s">
        <v>4275</v>
      </c>
      <c r="M1566" t="s">
        <v>4275</v>
      </c>
      <c r="O1566" t="s">
        <v>4282</v>
      </c>
      <c r="P1566" t="s">
        <v>5700</v>
      </c>
      <c r="Q1566" t="s">
        <v>5731</v>
      </c>
      <c r="R1566" t="s">
        <v>5753</v>
      </c>
      <c r="T1566" t="s">
        <v>4276</v>
      </c>
      <c r="V1566" t="s">
        <v>5767</v>
      </c>
      <c r="X1566" t="s">
        <v>160</v>
      </c>
      <c r="Y1566">
        <v>0</v>
      </c>
      <c r="Z1566" t="s">
        <v>5803</v>
      </c>
      <c r="AA1566" t="s">
        <v>5804</v>
      </c>
      <c r="AC1566" t="s">
        <v>7248</v>
      </c>
      <c r="AE1566" t="s">
        <v>9236</v>
      </c>
      <c r="AF1566">
        <v>0</v>
      </c>
      <c r="AG1566" t="s">
        <v>9270</v>
      </c>
      <c r="AH1566" t="s">
        <v>4280</v>
      </c>
      <c r="AI1566">
        <v>24</v>
      </c>
      <c r="AJ1566">
        <v>2</v>
      </c>
      <c r="AK1566">
        <v>0</v>
      </c>
      <c r="AL1566">
        <v>50.86</v>
      </c>
      <c r="AO1566" t="s">
        <v>1425</v>
      </c>
      <c r="AP1566">
        <v>8600</v>
      </c>
      <c r="AV1566">
        <v>1.4</v>
      </c>
      <c r="AW1566" t="s">
        <v>54</v>
      </c>
    </row>
    <row r="1567" spans="1:49">
      <c r="A1567" s="1">
        <f>HYPERLINK("https://cms.ls-nyc.org/matter/dynamic-profile/view/1884000","18-1884000")</f>
        <v>0</v>
      </c>
      <c r="B1567" t="s">
        <v>81</v>
      </c>
      <c r="C1567" t="s">
        <v>82</v>
      </c>
      <c r="D1567" t="s">
        <v>86</v>
      </c>
      <c r="E1567" t="s">
        <v>282</v>
      </c>
      <c r="F1567" t="s">
        <v>1354</v>
      </c>
      <c r="G1567" t="s">
        <v>2468</v>
      </c>
      <c r="H1567" t="s">
        <v>3814</v>
      </c>
      <c r="I1567" t="s">
        <v>3878</v>
      </c>
      <c r="J1567" t="s">
        <v>4222</v>
      </c>
      <c r="K1567">
        <v>11435</v>
      </c>
      <c r="L1567" t="s">
        <v>4275</v>
      </c>
      <c r="M1567" t="s">
        <v>4275</v>
      </c>
      <c r="O1567" t="s">
        <v>4282</v>
      </c>
      <c r="P1567" t="s">
        <v>5701</v>
      </c>
      <c r="Q1567" t="s">
        <v>5732</v>
      </c>
      <c r="R1567" t="s">
        <v>5753</v>
      </c>
      <c r="S1567" t="s">
        <v>5759</v>
      </c>
      <c r="T1567" t="s">
        <v>4276</v>
      </c>
      <c r="V1567" t="s">
        <v>5767</v>
      </c>
      <c r="W1567" t="s">
        <v>5772</v>
      </c>
      <c r="X1567" t="s">
        <v>222</v>
      </c>
      <c r="Y1567">
        <v>1200</v>
      </c>
      <c r="Z1567" t="s">
        <v>5803</v>
      </c>
      <c r="AA1567" t="s">
        <v>5804</v>
      </c>
      <c r="AB1567" t="s">
        <v>5821</v>
      </c>
      <c r="AC1567" t="s">
        <v>7249</v>
      </c>
      <c r="AE1567" t="s">
        <v>9237</v>
      </c>
      <c r="AF1567">
        <v>1</v>
      </c>
      <c r="AG1567" t="s">
        <v>9269</v>
      </c>
      <c r="AH1567" t="s">
        <v>4280</v>
      </c>
      <c r="AI1567">
        <v>2</v>
      </c>
      <c r="AJ1567">
        <v>1</v>
      </c>
      <c r="AK1567">
        <v>0</v>
      </c>
      <c r="AL1567">
        <v>59.31</v>
      </c>
      <c r="AO1567" t="s">
        <v>1425</v>
      </c>
      <c r="AP1567">
        <v>7200</v>
      </c>
      <c r="AV1567">
        <v>1</v>
      </c>
      <c r="AW1567" t="s">
        <v>73</v>
      </c>
    </row>
    <row r="1568" spans="1:49">
      <c r="A1568" s="1">
        <f>HYPERLINK("https://cms.ls-nyc.org/matter/dynamic-profile/view/1881229","18-1881229")</f>
        <v>0</v>
      </c>
      <c r="B1568" t="s">
        <v>81</v>
      </c>
      <c r="C1568" t="s">
        <v>83</v>
      </c>
      <c r="D1568" t="s">
        <v>140</v>
      </c>
      <c r="F1568" t="s">
        <v>1355</v>
      </c>
      <c r="G1568" t="s">
        <v>2469</v>
      </c>
      <c r="H1568" t="s">
        <v>3815</v>
      </c>
      <c r="I1568" t="s">
        <v>3864</v>
      </c>
      <c r="J1568" t="s">
        <v>4233</v>
      </c>
      <c r="K1568">
        <v>11375</v>
      </c>
      <c r="L1568" t="s">
        <v>4275</v>
      </c>
      <c r="M1568" t="s">
        <v>4275</v>
      </c>
      <c r="O1568" t="s">
        <v>4282</v>
      </c>
      <c r="P1568" t="s">
        <v>5702</v>
      </c>
      <c r="Q1568" t="s">
        <v>5732</v>
      </c>
      <c r="R1568" t="s">
        <v>5751</v>
      </c>
      <c r="T1568" t="s">
        <v>4276</v>
      </c>
      <c r="V1568" t="s">
        <v>5767</v>
      </c>
      <c r="W1568" t="s">
        <v>5772</v>
      </c>
      <c r="X1568" t="s">
        <v>140</v>
      </c>
      <c r="Y1568">
        <v>1600</v>
      </c>
      <c r="Z1568" t="s">
        <v>5803</v>
      </c>
      <c r="AA1568" t="s">
        <v>5804</v>
      </c>
      <c r="AC1568" t="s">
        <v>7250</v>
      </c>
      <c r="AD1568" t="s">
        <v>7837</v>
      </c>
      <c r="AE1568" t="s">
        <v>9238</v>
      </c>
      <c r="AF1568">
        <v>2</v>
      </c>
      <c r="AG1568" t="s">
        <v>9269</v>
      </c>
      <c r="AH1568" t="s">
        <v>9282</v>
      </c>
      <c r="AI1568">
        <v>10</v>
      </c>
      <c r="AJ1568">
        <v>3</v>
      </c>
      <c r="AK1568">
        <v>2</v>
      </c>
      <c r="AL1568">
        <v>67.98</v>
      </c>
      <c r="AO1568" t="s">
        <v>1425</v>
      </c>
      <c r="AP1568">
        <v>20000</v>
      </c>
      <c r="AV1568">
        <v>59.6</v>
      </c>
      <c r="AW1568" t="s">
        <v>73</v>
      </c>
    </row>
    <row r="1569" spans="1:49">
      <c r="A1569" s="1">
        <f>HYPERLINK("https://cms.ls-nyc.org/matter/dynamic-profile/view/1876468","18-1876468")</f>
        <v>0</v>
      </c>
      <c r="B1569" t="s">
        <v>81</v>
      </c>
      <c r="C1569" t="s">
        <v>83</v>
      </c>
      <c r="D1569" t="s">
        <v>287</v>
      </c>
      <c r="F1569" t="s">
        <v>847</v>
      </c>
      <c r="G1569" t="s">
        <v>2470</v>
      </c>
      <c r="H1569" t="s">
        <v>2710</v>
      </c>
      <c r="I1569" t="s">
        <v>4216</v>
      </c>
      <c r="J1569" t="s">
        <v>4222</v>
      </c>
      <c r="K1569">
        <v>11433</v>
      </c>
      <c r="L1569" t="s">
        <v>4275</v>
      </c>
      <c r="M1569" t="s">
        <v>4275</v>
      </c>
      <c r="O1569" t="s">
        <v>4281</v>
      </c>
      <c r="P1569" t="s">
        <v>5703</v>
      </c>
      <c r="Q1569" t="s">
        <v>5732</v>
      </c>
      <c r="R1569" t="s">
        <v>5751</v>
      </c>
      <c r="T1569" t="s">
        <v>4276</v>
      </c>
      <c r="V1569" t="s">
        <v>5767</v>
      </c>
      <c r="W1569" t="s">
        <v>5772</v>
      </c>
      <c r="X1569" t="s">
        <v>194</v>
      </c>
      <c r="Y1569">
        <v>800</v>
      </c>
      <c r="Z1569" t="s">
        <v>5803</v>
      </c>
      <c r="AA1569" t="s">
        <v>5805</v>
      </c>
      <c r="AC1569" t="s">
        <v>7251</v>
      </c>
      <c r="AD1569" t="s">
        <v>7838</v>
      </c>
      <c r="AE1569" t="s">
        <v>9239</v>
      </c>
      <c r="AF1569">
        <v>2</v>
      </c>
      <c r="AG1569" t="s">
        <v>9269</v>
      </c>
      <c r="AH1569" t="s">
        <v>9284</v>
      </c>
      <c r="AI1569">
        <v>3</v>
      </c>
      <c r="AJ1569">
        <v>1</v>
      </c>
      <c r="AK1569">
        <v>0</v>
      </c>
      <c r="AL1569">
        <v>74.43000000000001</v>
      </c>
      <c r="AO1569" t="s">
        <v>1425</v>
      </c>
      <c r="AP1569">
        <v>9036</v>
      </c>
      <c r="AV1569">
        <v>11.45</v>
      </c>
      <c r="AW1569" t="s">
        <v>73</v>
      </c>
    </row>
    <row r="1570" spans="1:49">
      <c r="A1570" s="1">
        <f>HYPERLINK("https://cms.ls-nyc.org/matter/dynamic-profile/view/1884710","18-1884710")</f>
        <v>0</v>
      </c>
      <c r="B1570" t="s">
        <v>81</v>
      </c>
      <c r="C1570" t="s">
        <v>83</v>
      </c>
      <c r="D1570" t="s">
        <v>174</v>
      </c>
      <c r="F1570" t="s">
        <v>1356</v>
      </c>
      <c r="G1570" t="s">
        <v>1828</v>
      </c>
      <c r="H1570" t="s">
        <v>3816</v>
      </c>
      <c r="I1570" t="s">
        <v>3866</v>
      </c>
      <c r="J1570" t="s">
        <v>4225</v>
      </c>
      <c r="K1570">
        <v>11385</v>
      </c>
      <c r="L1570" t="s">
        <v>4275</v>
      </c>
      <c r="M1570" t="s">
        <v>4275</v>
      </c>
      <c r="O1570" t="s">
        <v>4281</v>
      </c>
      <c r="P1570" t="s">
        <v>5704</v>
      </c>
      <c r="Q1570" t="s">
        <v>5731</v>
      </c>
      <c r="R1570" t="s">
        <v>5753</v>
      </c>
      <c r="T1570" t="s">
        <v>4276</v>
      </c>
      <c r="V1570" t="s">
        <v>5767</v>
      </c>
      <c r="X1570" t="s">
        <v>174</v>
      </c>
      <c r="Y1570">
        <v>2000</v>
      </c>
      <c r="Z1570" t="s">
        <v>5803</v>
      </c>
      <c r="AA1570" t="s">
        <v>5804</v>
      </c>
      <c r="AC1570" t="s">
        <v>7252</v>
      </c>
      <c r="AE1570" t="s">
        <v>9240</v>
      </c>
      <c r="AF1570">
        <v>3</v>
      </c>
      <c r="AG1570" t="s">
        <v>9270</v>
      </c>
      <c r="AH1570" t="s">
        <v>4280</v>
      </c>
      <c r="AI1570">
        <v>1</v>
      </c>
      <c r="AJ1570">
        <v>1</v>
      </c>
      <c r="AK1570">
        <v>0</v>
      </c>
      <c r="AL1570">
        <v>79.08</v>
      </c>
      <c r="AO1570" t="s">
        <v>1425</v>
      </c>
      <c r="AP1570">
        <v>9600</v>
      </c>
      <c r="AV1570">
        <v>9.5</v>
      </c>
      <c r="AW1570" t="s">
        <v>54</v>
      </c>
    </row>
    <row r="1571" spans="1:49">
      <c r="A1571" s="1">
        <f>HYPERLINK("https://cms.ls-nyc.org/matter/dynamic-profile/view/1879529","18-1879529")</f>
        <v>0</v>
      </c>
      <c r="B1571" t="s">
        <v>81</v>
      </c>
      <c r="C1571" t="s">
        <v>82</v>
      </c>
      <c r="D1571" t="s">
        <v>128</v>
      </c>
      <c r="E1571" t="s">
        <v>312</v>
      </c>
      <c r="F1571" t="s">
        <v>1357</v>
      </c>
      <c r="G1571" t="s">
        <v>2471</v>
      </c>
      <c r="H1571" t="s">
        <v>3215</v>
      </c>
      <c r="I1571" t="s">
        <v>4035</v>
      </c>
      <c r="J1571" t="s">
        <v>4255</v>
      </c>
      <c r="K1571">
        <v>11372</v>
      </c>
      <c r="L1571" t="s">
        <v>4275</v>
      </c>
      <c r="M1571" t="s">
        <v>4275</v>
      </c>
      <c r="O1571" t="s">
        <v>4282</v>
      </c>
      <c r="P1571" t="s">
        <v>5705</v>
      </c>
      <c r="Q1571" t="s">
        <v>5731</v>
      </c>
      <c r="R1571" t="s">
        <v>5753</v>
      </c>
      <c r="S1571" t="s">
        <v>5759</v>
      </c>
      <c r="T1571" t="s">
        <v>4276</v>
      </c>
      <c r="V1571" t="s">
        <v>5767</v>
      </c>
      <c r="W1571" t="s">
        <v>5772</v>
      </c>
      <c r="X1571" t="s">
        <v>128</v>
      </c>
      <c r="Y1571">
        <v>1397</v>
      </c>
      <c r="Z1571" t="s">
        <v>5803</v>
      </c>
      <c r="AA1571" t="s">
        <v>5804</v>
      </c>
      <c r="AB1571" t="s">
        <v>5821</v>
      </c>
      <c r="AC1571" t="s">
        <v>7253</v>
      </c>
      <c r="AD1571" t="s">
        <v>7839</v>
      </c>
      <c r="AE1571" t="s">
        <v>9241</v>
      </c>
      <c r="AF1571">
        <v>20</v>
      </c>
      <c r="AG1571" t="s">
        <v>9272</v>
      </c>
      <c r="AH1571" t="s">
        <v>9282</v>
      </c>
      <c r="AI1571">
        <v>24</v>
      </c>
      <c r="AJ1571">
        <v>1</v>
      </c>
      <c r="AK1571">
        <v>0</v>
      </c>
      <c r="AL1571">
        <v>80.36</v>
      </c>
      <c r="AO1571" t="s">
        <v>9298</v>
      </c>
      <c r="AP1571">
        <v>9756</v>
      </c>
      <c r="AV1571">
        <v>11.45</v>
      </c>
      <c r="AW1571" t="s">
        <v>73</v>
      </c>
    </row>
    <row r="1572" spans="1:49">
      <c r="A1572" s="1">
        <f>HYPERLINK("https://cms.ls-nyc.org/matter/dynamic-profile/view/1884553","18-1884553")</f>
        <v>0</v>
      </c>
      <c r="B1572" t="s">
        <v>81</v>
      </c>
      <c r="C1572" t="s">
        <v>83</v>
      </c>
      <c r="D1572" t="s">
        <v>142</v>
      </c>
      <c r="F1572" t="s">
        <v>1358</v>
      </c>
      <c r="G1572" t="s">
        <v>1607</v>
      </c>
      <c r="H1572" t="s">
        <v>3141</v>
      </c>
      <c r="I1572" t="s">
        <v>3932</v>
      </c>
      <c r="J1572" t="s">
        <v>4222</v>
      </c>
      <c r="K1572">
        <v>11434</v>
      </c>
      <c r="L1572" t="s">
        <v>4275</v>
      </c>
      <c r="M1572" t="s">
        <v>4275</v>
      </c>
      <c r="O1572" t="s">
        <v>4282</v>
      </c>
      <c r="P1572" t="s">
        <v>5706</v>
      </c>
      <c r="Q1572" t="s">
        <v>5731</v>
      </c>
      <c r="R1572" t="s">
        <v>5753</v>
      </c>
      <c r="T1572" t="s">
        <v>4276</v>
      </c>
      <c r="V1572" t="s">
        <v>5768</v>
      </c>
      <c r="Y1572">
        <v>1246</v>
      </c>
      <c r="Z1572" t="s">
        <v>5803</v>
      </c>
      <c r="AA1572" t="s">
        <v>5805</v>
      </c>
      <c r="AC1572" t="s">
        <v>7254</v>
      </c>
      <c r="AE1572" t="s">
        <v>9242</v>
      </c>
      <c r="AF1572">
        <v>0</v>
      </c>
      <c r="AG1572" t="s">
        <v>9271</v>
      </c>
      <c r="AI1572">
        <v>2</v>
      </c>
      <c r="AJ1572">
        <v>1</v>
      </c>
      <c r="AK1572">
        <v>0</v>
      </c>
      <c r="AL1572">
        <v>87.48</v>
      </c>
      <c r="AO1572" t="s">
        <v>1425</v>
      </c>
      <c r="AP1572">
        <v>10620</v>
      </c>
      <c r="AV1572">
        <v>27.75</v>
      </c>
      <c r="AW1572" t="s">
        <v>54</v>
      </c>
    </row>
    <row r="1573" spans="1:49">
      <c r="A1573" s="1">
        <f>HYPERLINK("https://cms.ls-nyc.org/matter/dynamic-profile/view/1896078","19-1896078")</f>
        <v>0</v>
      </c>
      <c r="B1573" t="s">
        <v>81</v>
      </c>
      <c r="C1573" t="s">
        <v>83</v>
      </c>
      <c r="D1573" t="s">
        <v>164</v>
      </c>
      <c r="F1573" t="s">
        <v>1359</v>
      </c>
      <c r="G1573" t="s">
        <v>2472</v>
      </c>
      <c r="H1573" t="s">
        <v>2789</v>
      </c>
      <c r="J1573" t="s">
        <v>4222</v>
      </c>
      <c r="K1573">
        <v>11434</v>
      </c>
      <c r="L1573" t="s">
        <v>4276</v>
      </c>
      <c r="M1573" t="s">
        <v>4277</v>
      </c>
      <c r="O1573" t="s">
        <v>4281</v>
      </c>
      <c r="P1573" t="s">
        <v>5707</v>
      </c>
      <c r="Q1573" t="s">
        <v>5731</v>
      </c>
      <c r="R1573" t="s">
        <v>5751</v>
      </c>
      <c r="T1573" t="s">
        <v>4276</v>
      </c>
      <c r="V1573" t="s">
        <v>5767</v>
      </c>
      <c r="W1573" t="s">
        <v>5772</v>
      </c>
      <c r="X1573" t="s">
        <v>164</v>
      </c>
      <c r="Y1573">
        <v>1313.83</v>
      </c>
      <c r="Z1573" t="s">
        <v>5803</v>
      </c>
      <c r="AA1573" t="s">
        <v>5805</v>
      </c>
      <c r="AC1573" t="s">
        <v>6751</v>
      </c>
      <c r="AE1573" t="s">
        <v>9243</v>
      </c>
      <c r="AF1573">
        <v>200</v>
      </c>
      <c r="AH1573" t="s">
        <v>4280</v>
      </c>
      <c r="AI1573">
        <v>32</v>
      </c>
      <c r="AJ1573">
        <v>2</v>
      </c>
      <c r="AK1573">
        <v>0</v>
      </c>
      <c r="AL1573">
        <v>92.25</v>
      </c>
      <c r="AO1573" t="s">
        <v>9303</v>
      </c>
      <c r="AP1573">
        <v>15600</v>
      </c>
      <c r="AV1573">
        <v>13.85</v>
      </c>
      <c r="AW1573" t="s">
        <v>54</v>
      </c>
    </row>
    <row r="1574" spans="1:49">
      <c r="A1574" s="1">
        <f>HYPERLINK("https://cms.ls-nyc.org/matter/dynamic-profile/view/1887352","19-1887352")</f>
        <v>0</v>
      </c>
      <c r="B1574" t="s">
        <v>81</v>
      </c>
      <c r="C1574" t="s">
        <v>83</v>
      </c>
      <c r="D1574" t="s">
        <v>183</v>
      </c>
      <c r="F1574" t="s">
        <v>527</v>
      </c>
      <c r="G1574" t="s">
        <v>2473</v>
      </c>
      <c r="H1574" t="s">
        <v>3817</v>
      </c>
      <c r="I1574" t="s">
        <v>4217</v>
      </c>
      <c r="J1574" t="s">
        <v>4245</v>
      </c>
      <c r="K1574">
        <v>11418</v>
      </c>
      <c r="L1574" t="s">
        <v>4275</v>
      </c>
      <c r="M1574" t="s">
        <v>4275</v>
      </c>
      <c r="O1574" t="s">
        <v>4282</v>
      </c>
      <c r="P1574" t="s">
        <v>5708</v>
      </c>
      <c r="Q1574" t="s">
        <v>5732</v>
      </c>
      <c r="R1574" t="s">
        <v>5753</v>
      </c>
      <c r="T1574" t="s">
        <v>4276</v>
      </c>
      <c r="V1574" t="s">
        <v>5767</v>
      </c>
      <c r="W1574" t="s">
        <v>5772</v>
      </c>
      <c r="X1574" t="s">
        <v>183</v>
      </c>
      <c r="Y1574">
        <v>800</v>
      </c>
      <c r="Z1574" t="s">
        <v>5803</v>
      </c>
      <c r="AA1574" t="s">
        <v>5804</v>
      </c>
      <c r="AC1574" t="s">
        <v>7255</v>
      </c>
      <c r="AD1574" t="s">
        <v>7840</v>
      </c>
      <c r="AE1574" t="s">
        <v>9244</v>
      </c>
      <c r="AF1574">
        <v>2</v>
      </c>
      <c r="AG1574" t="s">
        <v>9269</v>
      </c>
      <c r="AH1574" t="s">
        <v>9288</v>
      </c>
      <c r="AI1574">
        <v>3</v>
      </c>
      <c r="AJ1574">
        <v>1</v>
      </c>
      <c r="AK1574">
        <v>0</v>
      </c>
      <c r="AL1574">
        <v>101.84</v>
      </c>
      <c r="AO1574" t="s">
        <v>1425</v>
      </c>
      <c r="AP1574">
        <v>12363</v>
      </c>
      <c r="AV1574">
        <v>1.2</v>
      </c>
      <c r="AW1574" t="s">
        <v>74</v>
      </c>
    </row>
    <row r="1575" spans="1:49">
      <c r="A1575" s="1">
        <f>HYPERLINK("https://cms.ls-nyc.org/matter/dynamic-profile/view/1894188","19-1894188")</f>
        <v>0</v>
      </c>
      <c r="B1575" t="s">
        <v>81</v>
      </c>
      <c r="C1575" t="s">
        <v>83</v>
      </c>
      <c r="D1575" t="s">
        <v>211</v>
      </c>
      <c r="F1575" t="s">
        <v>1360</v>
      </c>
      <c r="G1575" t="s">
        <v>1569</v>
      </c>
      <c r="H1575" t="s">
        <v>3818</v>
      </c>
      <c r="I1575" t="s">
        <v>3867</v>
      </c>
      <c r="J1575" t="s">
        <v>4239</v>
      </c>
      <c r="K1575">
        <v>11420</v>
      </c>
      <c r="L1575" t="s">
        <v>4275</v>
      </c>
      <c r="M1575" t="s">
        <v>4275</v>
      </c>
      <c r="O1575" t="s">
        <v>4282</v>
      </c>
      <c r="P1575" t="s">
        <v>5709</v>
      </c>
      <c r="Q1575" t="s">
        <v>5732</v>
      </c>
      <c r="R1575" t="s">
        <v>5752</v>
      </c>
      <c r="T1575" t="s">
        <v>4276</v>
      </c>
      <c r="V1575" t="s">
        <v>5767</v>
      </c>
      <c r="X1575" t="s">
        <v>211</v>
      </c>
      <c r="Y1575">
        <v>1600</v>
      </c>
      <c r="Z1575" t="s">
        <v>5803</v>
      </c>
      <c r="AA1575" t="s">
        <v>5804</v>
      </c>
      <c r="AC1575" t="s">
        <v>7256</v>
      </c>
      <c r="AE1575" t="s">
        <v>9245</v>
      </c>
      <c r="AF1575">
        <v>0</v>
      </c>
      <c r="AG1575" t="s">
        <v>9270</v>
      </c>
      <c r="AH1575" t="s">
        <v>4280</v>
      </c>
      <c r="AI1575">
        <v>10</v>
      </c>
      <c r="AJ1575">
        <v>3</v>
      </c>
      <c r="AK1575">
        <v>1</v>
      </c>
      <c r="AL1575">
        <v>108.74</v>
      </c>
      <c r="AO1575" t="s">
        <v>1425</v>
      </c>
      <c r="AP1575">
        <v>28000</v>
      </c>
      <c r="AV1575">
        <v>1.4</v>
      </c>
      <c r="AW1575" t="s">
        <v>54</v>
      </c>
    </row>
    <row r="1576" spans="1:49">
      <c r="A1576" s="1">
        <f>HYPERLINK("https://cms.ls-nyc.org/matter/dynamic-profile/view/1894703","19-1894703")</f>
        <v>0</v>
      </c>
      <c r="B1576" t="s">
        <v>81</v>
      </c>
      <c r="C1576" t="s">
        <v>83</v>
      </c>
      <c r="D1576" t="s">
        <v>200</v>
      </c>
      <c r="F1576" t="s">
        <v>355</v>
      </c>
      <c r="G1576" t="s">
        <v>2474</v>
      </c>
      <c r="H1576" t="s">
        <v>3819</v>
      </c>
      <c r="I1576" t="s">
        <v>4218</v>
      </c>
      <c r="J1576" t="s">
        <v>4222</v>
      </c>
      <c r="K1576">
        <v>11434</v>
      </c>
      <c r="L1576" t="s">
        <v>4275</v>
      </c>
      <c r="M1576" t="s">
        <v>4275</v>
      </c>
      <c r="O1576" t="s">
        <v>4281</v>
      </c>
      <c r="P1576" t="s">
        <v>5710</v>
      </c>
      <c r="Q1576" t="s">
        <v>5731</v>
      </c>
      <c r="R1576" t="s">
        <v>5751</v>
      </c>
      <c r="T1576" t="s">
        <v>4276</v>
      </c>
      <c r="V1576" t="s">
        <v>5767</v>
      </c>
      <c r="W1576" t="s">
        <v>5772</v>
      </c>
      <c r="Y1576">
        <v>1366.68</v>
      </c>
      <c r="Z1576" t="s">
        <v>5803</v>
      </c>
      <c r="AA1576" t="s">
        <v>5805</v>
      </c>
      <c r="AC1576" t="s">
        <v>7257</v>
      </c>
      <c r="AE1576" t="s">
        <v>9246</v>
      </c>
      <c r="AF1576">
        <v>32</v>
      </c>
      <c r="AG1576" t="s">
        <v>9272</v>
      </c>
      <c r="AH1576" t="s">
        <v>4280</v>
      </c>
      <c r="AI1576">
        <v>5</v>
      </c>
      <c r="AJ1576">
        <v>1</v>
      </c>
      <c r="AK1576">
        <v>0</v>
      </c>
      <c r="AL1576">
        <v>115.29</v>
      </c>
      <c r="AO1576" t="s">
        <v>1425</v>
      </c>
      <c r="AP1576">
        <v>14400</v>
      </c>
      <c r="AV1576">
        <v>17.25</v>
      </c>
      <c r="AW1576" t="s">
        <v>56</v>
      </c>
    </row>
    <row r="1577" spans="1:49">
      <c r="A1577" s="1">
        <f>HYPERLINK("https://cms.ls-nyc.org/matter/dynamic-profile/view/1877595","18-1877595")</f>
        <v>0</v>
      </c>
      <c r="B1577" t="s">
        <v>81</v>
      </c>
      <c r="C1577" t="s">
        <v>82</v>
      </c>
      <c r="D1577" t="s">
        <v>86</v>
      </c>
      <c r="E1577" t="s">
        <v>265</v>
      </c>
      <c r="F1577" t="s">
        <v>339</v>
      </c>
      <c r="G1577" t="s">
        <v>2475</v>
      </c>
      <c r="H1577" t="s">
        <v>3820</v>
      </c>
      <c r="I1577" t="s">
        <v>3940</v>
      </c>
      <c r="J1577" t="s">
        <v>4232</v>
      </c>
      <c r="K1577">
        <v>11104</v>
      </c>
      <c r="L1577" t="s">
        <v>4275</v>
      </c>
      <c r="M1577" t="s">
        <v>4275</v>
      </c>
      <c r="O1577" t="s">
        <v>4282</v>
      </c>
      <c r="P1577" t="s">
        <v>5711</v>
      </c>
      <c r="Q1577" t="s">
        <v>5731</v>
      </c>
      <c r="R1577" t="s">
        <v>5753</v>
      </c>
      <c r="S1577" t="s">
        <v>5759</v>
      </c>
      <c r="T1577" t="s">
        <v>4276</v>
      </c>
      <c r="V1577" t="s">
        <v>5767</v>
      </c>
      <c r="W1577" t="s">
        <v>5774</v>
      </c>
      <c r="X1577" t="s">
        <v>86</v>
      </c>
      <c r="Y1577">
        <v>1305</v>
      </c>
      <c r="Z1577" t="s">
        <v>5803</v>
      </c>
      <c r="AA1577" t="s">
        <v>5804</v>
      </c>
      <c r="AB1577" t="s">
        <v>5821</v>
      </c>
      <c r="AC1577" t="s">
        <v>7258</v>
      </c>
      <c r="AE1577" t="s">
        <v>9247</v>
      </c>
      <c r="AF1577">
        <v>40</v>
      </c>
      <c r="AG1577" t="s">
        <v>9272</v>
      </c>
      <c r="AH1577" t="s">
        <v>4280</v>
      </c>
      <c r="AI1577">
        <v>19</v>
      </c>
      <c r="AJ1577">
        <v>3</v>
      </c>
      <c r="AK1577">
        <v>1</v>
      </c>
      <c r="AL1577">
        <v>124.3</v>
      </c>
      <c r="AO1577" t="s">
        <v>1425</v>
      </c>
      <c r="AP1577">
        <v>31200</v>
      </c>
      <c r="AV1577">
        <v>1</v>
      </c>
      <c r="AW1577" t="s">
        <v>73</v>
      </c>
    </row>
    <row r="1578" spans="1:49">
      <c r="A1578" s="1">
        <f>HYPERLINK("https://cms.ls-nyc.org/matter/dynamic-profile/view/1887347","19-1887347")</f>
        <v>0</v>
      </c>
      <c r="B1578" t="s">
        <v>81</v>
      </c>
      <c r="C1578" t="s">
        <v>83</v>
      </c>
      <c r="D1578" t="s">
        <v>183</v>
      </c>
      <c r="F1578" t="s">
        <v>1283</v>
      </c>
      <c r="G1578" t="s">
        <v>2476</v>
      </c>
      <c r="H1578" t="s">
        <v>3821</v>
      </c>
      <c r="I1578" t="s">
        <v>4012</v>
      </c>
      <c r="J1578" t="s">
        <v>4251</v>
      </c>
      <c r="K1578">
        <v>11377</v>
      </c>
      <c r="L1578" t="s">
        <v>4275</v>
      </c>
      <c r="M1578" t="s">
        <v>4275</v>
      </c>
      <c r="O1578" t="s">
        <v>4282</v>
      </c>
      <c r="P1578" t="s">
        <v>5712</v>
      </c>
      <c r="Q1578" t="s">
        <v>5731</v>
      </c>
      <c r="R1578" t="s">
        <v>5753</v>
      </c>
      <c r="T1578" t="s">
        <v>4276</v>
      </c>
      <c r="V1578" t="s">
        <v>5767</v>
      </c>
      <c r="W1578" t="s">
        <v>5772</v>
      </c>
      <c r="X1578" t="s">
        <v>183</v>
      </c>
      <c r="Y1578">
        <v>937</v>
      </c>
      <c r="Z1578" t="s">
        <v>5803</v>
      </c>
      <c r="AA1578" t="s">
        <v>5804</v>
      </c>
      <c r="AC1578" t="s">
        <v>7259</v>
      </c>
      <c r="AD1578" t="s">
        <v>7841</v>
      </c>
      <c r="AE1578" t="s">
        <v>9248</v>
      </c>
      <c r="AF1578">
        <v>86</v>
      </c>
      <c r="AG1578" t="s">
        <v>9272</v>
      </c>
      <c r="AH1578" t="s">
        <v>4280</v>
      </c>
      <c r="AI1578">
        <v>45</v>
      </c>
      <c r="AJ1578">
        <v>1</v>
      </c>
      <c r="AK1578">
        <v>0</v>
      </c>
      <c r="AL1578">
        <v>124.74</v>
      </c>
      <c r="AO1578" t="s">
        <v>9298</v>
      </c>
      <c r="AP1578">
        <v>15144</v>
      </c>
      <c r="AV1578">
        <v>1.6</v>
      </c>
      <c r="AW1578" t="s">
        <v>74</v>
      </c>
    </row>
    <row r="1579" spans="1:49">
      <c r="A1579" s="1">
        <f>HYPERLINK("https://cms.ls-nyc.org/matter/dynamic-profile/view/1894230","19-1894230")</f>
        <v>0</v>
      </c>
      <c r="B1579" t="s">
        <v>81</v>
      </c>
      <c r="C1579" t="s">
        <v>83</v>
      </c>
      <c r="D1579" t="s">
        <v>211</v>
      </c>
      <c r="F1579" t="s">
        <v>1361</v>
      </c>
      <c r="G1579" t="s">
        <v>2477</v>
      </c>
      <c r="H1579" t="s">
        <v>3822</v>
      </c>
      <c r="I1579" t="s">
        <v>3866</v>
      </c>
      <c r="J1579" t="s">
        <v>4222</v>
      </c>
      <c r="K1579">
        <v>11436</v>
      </c>
      <c r="L1579" t="s">
        <v>4275</v>
      </c>
      <c r="M1579" t="s">
        <v>4275</v>
      </c>
      <c r="O1579" t="s">
        <v>4282</v>
      </c>
      <c r="P1579" t="s">
        <v>5713</v>
      </c>
      <c r="Q1579" t="s">
        <v>5732</v>
      </c>
      <c r="R1579" t="s">
        <v>5752</v>
      </c>
      <c r="T1579" t="s">
        <v>4276</v>
      </c>
      <c r="V1579" t="s">
        <v>5767</v>
      </c>
      <c r="X1579" t="s">
        <v>211</v>
      </c>
      <c r="Y1579">
        <v>1540</v>
      </c>
      <c r="Z1579" t="s">
        <v>5803</v>
      </c>
      <c r="AA1579" t="s">
        <v>5804</v>
      </c>
      <c r="AC1579" t="s">
        <v>7260</v>
      </c>
      <c r="AE1579" t="s">
        <v>9249</v>
      </c>
      <c r="AF1579">
        <v>0</v>
      </c>
      <c r="AG1579" t="s">
        <v>9270</v>
      </c>
      <c r="AH1579" t="s">
        <v>4280</v>
      </c>
      <c r="AI1579">
        <v>14</v>
      </c>
      <c r="AJ1579">
        <v>4</v>
      </c>
      <c r="AK1579">
        <v>1</v>
      </c>
      <c r="AL1579">
        <v>132.58</v>
      </c>
      <c r="AO1579" t="s">
        <v>1425</v>
      </c>
      <c r="AP1579">
        <v>40000</v>
      </c>
      <c r="AV1579">
        <v>1.3</v>
      </c>
      <c r="AW1579" t="s">
        <v>54</v>
      </c>
    </row>
    <row r="1580" spans="1:49">
      <c r="A1580" s="1">
        <f>HYPERLINK("https://cms.ls-nyc.org/matter/dynamic-profile/view/1892730","19-1892730")</f>
        <v>0</v>
      </c>
      <c r="B1580" t="s">
        <v>81</v>
      </c>
      <c r="C1580" t="s">
        <v>83</v>
      </c>
      <c r="D1580" t="s">
        <v>134</v>
      </c>
      <c r="F1580" t="s">
        <v>1362</v>
      </c>
      <c r="G1580" t="s">
        <v>2478</v>
      </c>
      <c r="H1580" t="s">
        <v>3823</v>
      </c>
      <c r="I1580" t="s">
        <v>4219</v>
      </c>
      <c r="J1580" t="s">
        <v>4252</v>
      </c>
      <c r="K1580">
        <v>11374</v>
      </c>
      <c r="L1580" t="s">
        <v>4275</v>
      </c>
      <c r="M1580" t="s">
        <v>4275</v>
      </c>
      <c r="O1580" t="s">
        <v>4282</v>
      </c>
      <c r="P1580" t="s">
        <v>5714</v>
      </c>
      <c r="Q1580" t="s">
        <v>5731</v>
      </c>
      <c r="R1580" t="s">
        <v>5753</v>
      </c>
      <c r="V1580" t="s">
        <v>5767</v>
      </c>
      <c r="X1580" t="s">
        <v>134</v>
      </c>
      <c r="Y1580">
        <v>1682</v>
      </c>
      <c r="Z1580" t="s">
        <v>5803</v>
      </c>
      <c r="AA1580" t="s">
        <v>5804</v>
      </c>
      <c r="AC1580" t="s">
        <v>7261</v>
      </c>
      <c r="AE1580" t="s">
        <v>9250</v>
      </c>
      <c r="AF1580">
        <v>72</v>
      </c>
      <c r="AG1580" t="s">
        <v>9272</v>
      </c>
      <c r="AH1580" t="s">
        <v>4280</v>
      </c>
      <c r="AI1580">
        <v>12</v>
      </c>
      <c r="AJ1580">
        <v>1</v>
      </c>
      <c r="AK1580">
        <v>0</v>
      </c>
      <c r="AL1580">
        <v>134.51</v>
      </c>
      <c r="AP1580">
        <v>16800</v>
      </c>
      <c r="AV1580">
        <v>2.2</v>
      </c>
      <c r="AW1580" t="s">
        <v>74</v>
      </c>
    </row>
    <row r="1581" spans="1:49">
      <c r="A1581" s="1">
        <f>HYPERLINK("https://cms.ls-nyc.org/matter/dynamic-profile/view/1882931","18-1882931")</f>
        <v>0</v>
      </c>
      <c r="B1581" t="s">
        <v>81</v>
      </c>
      <c r="C1581" t="s">
        <v>82</v>
      </c>
      <c r="D1581" t="s">
        <v>223</v>
      </c>
      <c r="E1581" t="s">
        <v>282</v>
      </c>
      <c r="F1581" t="s">
        <v>1180</v>
      </c>
      <c r="G1581" t="s">
        <v>2479</v>
      </c>
      <c r="H1581" t="s">
        <v>3824</v>
      </c>
      <c r="I1581" t="s">
        <v>3867</v>
      </c>
      <c r="J1581" t="s">
        <v>4253</v>
      </c>
      <c r="K1581">
        <v>11422</v>
      </c>
      <c r="L1581" t="s">
        <v>4275</v>
      </c>
      <c r="M1581" t="s">
        <v>4275</v>
      </c>
      <c r="O1581" t="s">
        <v>4282</v>
      </c>
      <c r="P1581" t="s">
        <v>5715</v>
      </c>
      <c r="Q1581" t="s">
        <v>5732</v>
      </c>
      <c r="R1581" t="s">
        <v>5753</v>
      </c>
      <c r="S1581" t="s">
        <v>5759</v>
      </c>
      <c r="T1581" t="s">
        <v>4276</v>
      </c>
      <c r="V1581" t="s">
        <v>5767</v>
      </c>
      <c r="W1581" t="s">
        <v>5772</v>
      </c>
      <c r="X1581" t="s">
        <v>223</v>
      </c>
      <c r="Y1581">
        <v>1900</v>
      </c>
      <c r="Z1581" t="s">
        <v>5803</v>
      </c>
      <c r="AA1581" t="s">
        <v>5804</v>
      </c>
      <c r="AB1581" t="s">
        <v>5821</v>
      </c>
      <c r="AC1581" t="s">
        <v>7262</v>
      </c>
      <c r="AE1581" t="s">
        <v>9251</v>
      </c>
      <c r="AF1581">
        <v>0</v>
      </c>
      <c r="AG1581" t="s">
        <v>9270</v>
      </c>
      <c r="AH1581" t="s">
        <v>4280</v>
      </c>
      <c r="AI1581">
        <v>14</v>
      </c>
      <c r="AJ1581">
        <v>1</v>
      </c>
      <c r="AK1581">
        <v>2</v>
      </c>
      <c r="AL1581">
        <v>135.13</v>
      </c>
      <c r="AO1581" t="s">
        <v>1425</v>
      </c>
      <c r="AP1581">
        <v>28080</v>
      </c>
      <c r="AV1581">
        <v>1.7</v>
      </c>
      <c r="AW1581" t="s">
        <v>54</v>
      </c>
    </row>
    <row r="1582" spans="1:49">
      <c r="A1582" s="1">
        <f>HYPERLINK("https://cms.ls-nyc.org/matter/dynamic-profile/view/1895779","19-1895779")</f>
        <v>0</v>
      </c>
      <c r="B1582" t="s">
        <v>81</v>
      </c>
      <c r="C1582" t="s">
        <v>83</v>
      </c>
      <c r="D1582" t="s">
        <v>94</v>
      </c>
      <c r="F1582" t="s">
        <v>547</v>
      </c>
      <c r="G1582" t="s">
        <v>1522</v>
      </c>
      <c r="H1582" t="s">
        <v>2569</v>
      </c>
      <c r="I1582">
        <v>402</v>
      </c>
      <c r="J1582" t="s">
        <v>4222</v>
      </c>
      <c r="K1582">
        <v>11433</v>
      </c>
      <c r="L1582" t="s">
        <v>4275</v>
      </c>
      <c r="M1582" t="s">
        <v>4275</v>
      </c>
      <c r="O1582" t="s">
        <v>4281</v>
      </c>
      <c r="P1582" t="s">
        <v>5716</v>
      </c>
      <c r="Q1582" t="s">
        <v>5731</v>
      </c>
      <c r="R1582" t="s">
        <v>5751</v>
      </c>
      <c r="T1582" t="s">
        <v>4276</v>
      </c>
      <c r="V1582" t="s">
        <v>5767</v>
      </c>
      <c r="X1582" t="s">
        <v>94</v>
      </c>
      <c r="Y1582">
        <v>1733</v>
      </c>
      <c r="Z1582" t="s">
        <v>5803</v>
      </c>
      <c r="AA1582" t="s">
        <v>5804</v>
      </c>
      <c r="AC1582" t="s">
        <v>7263</v>
      </c>
      <c r="AD1582" t="s">
        <v>7842</v>
      </c>
      <c r="AE1582" t="s">
        <v>9252</v>
      </c>
      <c r="AF1582">
        <v>0</v>
      </c>
      <c r="AG1582" t="s">
        <v>9270</v>
      </c>
      <c r="AH1582" t="s">
        <v>9282</v>
      </c>
      <c r="AI1582">
        <v>11</v>
      </c>
      <c r="AJ1582">
        <v>2</v>
      </c>
      <c r="AK1582">
        <v>3</v>
      </c>
      <c r="AL1582">
        <v>138.93</v>
      </c>
      <c r="AO1582" t="s">
        <v>1425</v>
      </c>
      <c r="AP1582">
        <v>41916</v>
      </c>
      <c r="AV1582">
        <v>21.2</v>
      </c>
      <c r="AW1582" t="s">
        <v>54</v>
      </c>
    </row>
    <row r="1583" spans="1:49">
      <c r="A1583" s="1">
        <f>HYPERLINK("https://cms.ls-nyc.org/matter/dynamic-profile/view/1885023","18-1885023")</f>
        <v>0</v>
      </c>
      <c r="B1583" t="s">
        <v>81</v>
      </c>
      <c r="C1583" t="s">
        <v>82</v>
      </c>
      <c r="D1583" t="s">
        <v>190</v>
      </c>
      <c r="E1583" t="s">
        <v>282</v>
      </c>
      <c r="F1583" t="s">
        <v>1118</v>
      </c>
      <c r="G1583" t="s">
        <v>2480</v>
      </c>
      <c r="H1583" t="s">
        <v>3825</v>
      </c>
      <c r="I1583" t="s">
        <v>3902</v>
      </c>
      <c r="J1583" t="s">
        <v>4226</v>
      </c>
      <c r="K1583">
        <v>11385</v>
      </c>
      <c r="L1583" t="s">
        <v>4275</v>
      </c>
      <c r="M1583" t="s">
        <v>4276</v>
      </c>
      <c r="O1583" t="s">
        <v>4281</v>
      </c>
      <c r="P1583" t="s">
        <v>5717</v>
      </c>
      <c r="Q1583" t="s">
        <v>5731</v>
      </c>
      <c r="R1583" t="s">
        <v>5753</v>
      </c>
      <c r="S1583" t="s">
        <v>5759</v>
      </c>
      <c r="T1583" t="s">
        <v>4276</v>
      </c>
      <c r="V1583" t="s">
        <v>5767</v>
      </c>
      <c r="W1583" t="s">
        <v>5773</v>
      </c>
      <c r="X1583" t="s">
        <v>190</v>
      </c>
      <c r="Y1583">
        <v>1450</v>
      </c>
      <c r="Z1583" t="s">
        <v>5803</v>
      </c>
      <c r="AA1583" t="s">
        <v>5804</v>
      </c>
      <c r="AB1583" t="s">
        <v>5821</v>
      </c>
      <c r="AC1583" t="s">
        <v>7264</v>
      </c>
      <c r="AD1583" t="s">
        <v>7843</v>
      </c>
      <c r="AE1583" t="s">
        <v>9253</v>
      </c>
      <c r="AF1583">
        <v>6</v>
      </c>
      <c r="AG1583" t="s">
        <v>9270</v>
      </c>
      <c r="AH1583" t="s">
        <v>4280</v>
      </c>
      <c r="AI1583">
        <v>5</v>
      </c>
      <c r="AJ1583">
        <v>2</v>
      </c>
      <c r="AK1583">
        <v>2</v>
      </c>
      <c r="AL1583">
        <v>139.44</v>
      </c>
      <c r="AO1583" t="s">
        <v>1425</v>
      </c>
      <c r="AP1583">
        <v>35000</v>
      </c>
      <c r="AV1583">
        <v>1.5</v>
      </c>
      <c r="AW1583" t="s">
        <v>73</v>
      </c>
    </row>
    <row r="1584" spans="1:49">
      <c r="A1584" s="1">
        <f>HYPERLINK("https://cms.ls-nyc.org/matter/dynamic-profile/view/1887411","19-1887411")</f>
        <v>0</v>
      </c>
      <c r="B1584" t="s">
        <v>81</v>
      </c>
      <c r="C1584" t="s">
        <v>83</v>
      </c>
      <c r="D1584" t="s">
        <v>183</v>
      </c>
      <c r="F1584" t="s">
        <v>1363</v>
      </c>
      <c r="G1584" t="s">
        <v>1825</v>
      </c>
      <c r="H1584" t="s">
        <v>3826</v>
      </c>
      <c r="I1584" t="s">
        <v>3842</v>
      </c>
      <c r="J1584" t="s">
        <v>4223</v>
      </c>
      <c r="K1584">
        <v>11423</v>
      </c>
      <c r="L1584" t="s">
        <v>4276</v>
      </c>
      <c r="M1584" t="s">
        <v>4275</v>
      </c>
      <c r="O1584" t="s">
        <v>4282</v>
      </c>
      <c r="P1584" t="s">
        <v>5718</v>
      </c>
      <c r="Q1584" t="s">
        <v>5731</v>
      </c>
      <c r="R1584" t="s">
        <v>5752</v>
      </c>
      <c r="T1584" t="s">
        <v>4276</v>
      </c>
      <c r="V1584" t="s">
        <v>5767</v>
      </c>
      <c r="W1584" t="s">
        <v>5772</v>
      </c>
      <c r="Y1584">
        <v>1575</v>
      </c>
      <c r="Z1584" t="s">
        <v>5803</v>
      </c>
      <c r="AA1584" t="s">
        <v>5804</v>
      </c>
      <c r="AC1584" t="s">
        <v>7265</v>
      </c>
      <c r="AD1584" t="s">
        <v>7844</v>
      </c>
      <c r="AE1584" t="s">
        <v>9254</v>
      </c>
      <c r="AF1584">
        <v>66</v>
      </c>
      <c r="AG1584" t="s">
        <v>9272</v>
      </c>
      <c r="AH1584" t="s">
        <v>4280</v>
      </c>
      <c r="AI1584">
        <v>3</v>
      </c>
      <c r="AJ1584">
        <v>1</v>
      </c>
      <c r="AK1584">
        <v>0</v>
      </c>
      <c r="AL1584">
        <v>148.27</v>
      </c>
      <c r="AO1584" t="s">
        <v>1425</v>
      </c>
      <c r="AP1584">
        <v>18000</v>
      </c>
      <c r="AV1584">
        <v>1.95</v>
      </c>
      <c r="AW1584" t="s">
        <v>54</v>
      </c>
    </row>
    <row r="1585" spans="1:49">
      <c r="A1585" s="1">
        <f>HYPERLINK("https://cms.ls-nyc.org/matter/dynamic-profile/view/1894425","19-1894425")</f>
        <v>0</v>
      </c>
      <c r="B1585" t="s">
        <v>81</v>
      </c>
      <c r="C1585" t="s">
        <v>83</v>
      </c>
      <c r="D1585" t="s">
        <v>121</v>
      </c>
      <c r="F1585" t="s">
        <v>1364</v>
      </c>
      <c r="G1585" t="s">
        <v>2481</v>
      </c>
      <c r="H1585" t="s">
        <v>2857</v>
      </c>
      <c r="I1585" t="s">
        <v>3968</v>
      </c>
      <c r="J1585" t="s">
        <v>4222</v>
      </c>
      <c r="K1585">
        <v>11434</v>
      </c>
      <c r="L1585" t="s">
        <v>4275</v>
      </c>
      <c r="M1585" t="s">
        <v>4275</v>
      </c>
      <c r="O1585" t="s">
        <v>4281</v>
      </c>
      <c r="P1585" t="s">
        <v>5719</v>
      </c>
      <c r="Q1585" t="s">
        <v>5731</v>
      </c>
      <c r="R1585" t="s">
        <v>5751</v>
      </c>
      <c r="T1585" t="s">
        <v>4276</v>
      </c>
      <c r="V1585" t="s">
        <v>5767</v>
      </c>
      <c r="X1585" t="s">
        <v>121</v>
      </c>
      <c r="Y1585">
        <v>963.61</v>
      </c>
      <c r="Z1585" t="s">
        <v>5803</v>
      </c>
      <c r="AA1585" t="s">
        <v>5805</v>
      </c>
      <c r="AC1585" t="s">
        <v>7266</v>
      </c>
      <c r="AE1585" t="s">
        <v>9255</v>
      </c>
      <c r="AF1585">
        <v>0</v>
      </c>
      <c r="AG1585" t="s">
        <v>9273</v>
      </c>
      <c r="AH1585" t="s">
        <v>4280</v>
      </c>
      <c r="AI1585">
        <v>42</v>
      </c>
      <c r="AJ1585">
        <v>2</v>
      </c>
      <c r="AK1585">
        <v>0</v>
      </c>
      <c r="AL1585">
        <v>149.02</v>
      </c>
      <c r="AO1585" t="s">
        <v>1425</v>
      </c>
      <c r="AP1585">
        <v>25200</v>
      </c>
      <c r="AV1585">
        <v>9.199999999999999</v>
      </c>
      <c r="AW1585" t="s">
        <v>54</v>
      </c>
    </row>
    <row r="1586" spans="1:49">
      <c r="A1586" s="1">
        <f>HYPERLINK("https://cms.ls-nyc.org/matter/dynamic-profile/view/1886956","19-1886956")</f>
        <v>0</v>
      </c>
      <c r="B1586" t="s">
        <v>81</v>
      </c>
      <c r="C1586" t="s">
        <v>83</v>
      </c>
      <c r="D1586" t="s">
        <v>249</v>
      </c>
      <c r="F1586" t="s">
        <v>1365</v>
      </c>
      <c r="G1586" t="s">
        <v>2482</v>
      </c>
      <c r="H1586" t="s">
        <v>3827</v>
      </c>
      <c r="I1586" t="s">
        <v>3900</v>
      </c>
      <c r="J1586" t="s">
        <v>4243</v>
      </c>
      <c r="K1586">
        <v>11691</v>
      </c>
      <c r="L1586" t="s">
        <v>4275</v>
      </c>
      <c r="M1586" t="s">
        <v>4275</v>
      </c>
      <c r="O1586" t="s">
        <v>4282</v>
      </c>
      <c r="P1586" t="s">
        <v>5720</v>
      </c>
      <c r="Q1586" t="s">
        <v>5732</v>
      </c>
      <c r="R1586" t="s">
        <v>5753</v>
      </c>
      <c r="T1586" t="s">
        <v>4276</v>
      </c>
      <c r="V1586" t="s">
        <v>5767</v>
      </c>
      <c r="W1586" t="s">
        <v>5772</v>
      </c>
      <c r="X1586" t="s">
        <v>193</v>
      </c>
      <c r="Y1586">
        <v>1800</v>
      </c>
      <c r="Z1586" t="s">
        <v>5803</v>
      </c>
      <c r="AA1586" t="s">
        <v>5804</v>
      </c>
      <c r="AC1586" t="s">
        <v>7267</v>
      </c>
      <c r="AE1586" t="s">
        <v>9256</v>
      </c>
      <c r="AF1586">
        <v>2</v>
      </c>
      <c r="AG1586" t="s">
        <v>9269</v>
      </c>
      <c r="AH1586" t="s">
        <v>4280</v>
      </c>
      <c r="AI1586">
        <v>18</v>
      </c>
      <c r="AJ1586">
        <v>3</v>
      </c>
      <c r="AK1586">
        <v>0</v>
      </c>
      <c r="AL1586">
        <v>149.18</v>
      </c>
      <c r="AP1586">
        <v>31000</v>
      </c>
      <c r="AV1586">
        <v>0.4</v>
      </c>
      <c r="AW1586" t="s">
        <v>64</v>
      </c>
    </row>
    <row r="1587" spans="1:49">
      <c r="A1587" s="1">
        <f>HYPERLINK("https://cms.ls-nyc.org/matter/dynamic-profile/view/1886903","19-1886903")</f>
        <v>0</v>
      </c>
      <c r="B1587" t="s">
        <v>81</v>
      </c>
      <c r="C1587" t="s">
        <v>83</v>
      </c>
      <c r="D1587" t="s">
        <v>193</v>
      </c>
      <c r="F1587" t="s">
        <v>1366</v>
      </c>
      <c r="G1587" t="s">
        <v>2483</v>
      </c>
      <c r="H1587" t="s">
        <v>3828</v>
      </c>
      <c r="I1587" t="s">
        <v>3929</v>
      </c>
      <c r="J1587" t="s">
        <v>4252</v>
      </c>
      <c r="K1587">
        <v>11374</v>
      </c>
      <c r="L1587" t="s">
        <v>4275</v>
      </c>
      <c r="M1587" t="s">
        <v>4275</v>
      </c>
      <c r="O1587" t="s">
        <v>4282</v>
      </c>
      <c r="P1587" t="s">
        <v>5721</v>
      </c>
      <c r="Q1587" t="s">
        <v>5732</v>
      </c>
      <c r="R1587" t="s">
        <v>5753</v>
      </c>
      <c r="T1587" t="s">
        <v>4276</v>
      </c>
      <c r="V1587" t="s">
        <v>5767</v>
      </c>
      <c r="X1587" t="s">
        <v>193</v>
      </c>
      <c r="Y1587">
        <v>1800</v>
      </c>
      <c r="Z1587" t="s">
        <v>5803</v>
      </c>
      <c r="AA1587" t="s">
        <v>5804</v>
      </c>
      <c r="AC1587" t="s">
        <v>7268</v>
      </c>
      <c r="AD1587" t="s">
        <v>7845</v>
      </c>
      <c r="AE1587" t="s">
        <v>9257</v>
      </c>
      <c r="AF1587">
        <v>0</v>
      </c>
      <c r="AG1587" t="s">
        <v>9270</v>
      </c>
      <c r="AH1587" t="s">
        <v>4280</v>
      </c>
      <c r="AI1587">
        <v>18</v>
      </c>
      <c r="AJ1587">
        <v>3</v>
      </c>
      <c r="AK1587">
        <v>0</v>
      </c>
      <c r="AL1587">
        <v>149.18</v>
      </c>
      <c r="AO1587" t="s">
        <v>9313</v>
      </c>
      <c r="AP1587">
        <v>31000</v>
      </c>
      <c r="AV1587">
        <v>2</v>
      </c>
      <c r="AW1587" t="s">
        <v>54</v>
      </c>
    </row>
    <row r="1588" spans="1:49">
      <c r="A1588" s="1">
        <f>HYPERLINK("https://cms.ls-nyc.org/matter/dynamic-profile/view/1883976","18-1883976")</f>
        <v>0</v>
      </c>
      <c r="B1588" t="s">
        <v>81</v>
      </c>
      <c r="C1588" t="s">
        <v>82</v>
      </c>
      <c r="D1588" t="s">
        <v>86</v>
      </c>
      <c r="E1588" t="s">
        <v>142</v>
      </c>
      <c r="F1588" t="s">
        <v>429</v>
      </c>
      <c r="G1588" t="s">
        <v>2484</v>
      </c>
      <c r="H1588" t="s">
        <v>3829</v>
      </c>
      <c r="I1588" t="s">
        <v>3985</v>
      </c>
      <c r="J1588" t="s">
        <v>4257</v>
      </c>
      <c r="K1588">
        <v>11379</v>
      </c>
      <c r="L1588" t="s">
        <v>4275</v>
      </c>
      <c r="M1588" t="s">
        <v>4275</v>
      </c>
      <c r="O1588" t="s">
        <v>4282</v>
      </c>
      <c r="P1588" t="s">
        <v>5722</v>
      </c>
      <c r="Q1588" t="s">
        <v>5732</v>
      </c>
      <c r="R1588" t="s">
        <v>5753</v>
      </c>
      <c r="S1588" t="s">
        <v>5759</v>
      </c>
      <c r="T1588" t="s">
        <v>4276</v>
      </c>
      <c r="V1588" t="s">
        <v>5767</v>
      </c>
      <c r="W1588" t="s">
        <v>5772</v>
      </c>
      <c r="X1588" t="s">
        <v>86</v>
      </c>
      <c r="Y1588">
        <v>0</v>
      </c>
      <c r="Z1588" t="s">
        <v>5803</v>
      </c>
      <c r="AA1588" t="s">
        <v>5804</v>
      </c>
      <c r="AB1588" t="s">
        <v>5821</v>
      </c>
      <c r="AC1588" t="s">
        <v>7269</v>
      </c>
      <c r="AE1588" t="s">
        <v>9258</v>
      </c>
      <c r="AF1588">
        <v>2</v>
      </c>
      <c r="AG1588" t="s">
        <v>9269</v>
      </c>
      <c r="AH1588" t="s">
        <v>4280</v>
      </c>
      <c r="AI1588">
        <v>15</v>
      </c>
      <c r="AJ1588">
        <v>2</v>
      </c>
      <c r="AK1588">
        <v>0</v>
      </c>
      <c r="AL1588">
        <v>151.88</v>
      </c>
      <c r="AO1588" t="s">
        <v>9298</v>
      </c>
      <c r="AP1588">
        <v>25000</v>
      </c>
      <c r="AV1588">
        <v>2.2</v>
      </c>
      <c r="AW1588" t="s">
        <v>73</v>
      </c>
    </row>
    <row r="1589" spans="1:49">
      <c r="A1589" s="1">
        <f>HYPERLINK("https://cms.ls-nyc.org/matter/dynamic-profile/view/1882132","18-1882132")</f>
        <v>0</v>
      </c>
      <c r="B1589" t="s">
        <v>81</v>
      </c>
      <c r="C1589" t="s">
        <v>82</v>
      </c>
      <c r="D1589" t="s">
        <v>130</v>
      </c>
      <c r="E1589" t="s">
        <v>282</v>
      </c>
      <c r="F1589" t="s">
        <v>1367</v>
      </c>
      <c r="G1589" t="s">
        <v>2485</v>
      </c>
      <c r="H1589" t="s">
        <v>3830</v>
      </c>
      <c r="I1589" t="s">
        <v>3934</v>
      </c>
      <c r="J1589" t="s">
        <v>4247</v>
      </c>
      <c r="K1589">
        <v>11415</v>
      </c>
      <c r="L1589" t="s">
        <v>4275</v>
      </c>
      <c r="M1589" t="s">
        <v>4275</v>
      </c>
      <c r="O1589" t="s">
        <v>4282</v>
      </c>
      <c r="P1589" t="s">
        <v>5723</v>
      </c>
      <c r="Q1589" t="s">
        <v>5732</v>
      </c>
      <c r="R1589" t="s">
        <v>5753</v>
      </c>
      <c r="S1589" t="s">
        <v>5759</v>
      </c>
      <c r="T1589" t="s">
        <v>4276</v>
      </c>
      <c r="V1589" t="s">
        <v>5767</v>
      </c>
      <c r="W1589" t="s">
        <v>5772</v>
      </c>
      <c r="X1589" t="s">
        <v>130</v>
      </c>
      <c r="Y1589">
        <v>2000</v>
      </c>
      <c r="Z1589" t="s">
        <v>5803</v>
      </c>
      <c r="AA1589" t="s">
        <v>5804</v>
      </c>
      <c r="AB1589" t="s">
        <v>5821</v>
      </c>
      <c r="AC1589" t="s">
        <v>7270</v>
      </c>
      <c r="AE1589" t="s">
        <v>9259</v>
      </c>
      <c r="AF1589">
        <v>12</v>
      </c>
      <c r="AG1589" t="s">
        <v>9269</v>
      </c>
      <c r="AH1589" t="s">
        <v>4280</v>
      </c>
      <c r="AI1589">
        <v>3</v>
      </c>
      <c r="AJ1589">
        <v>3</v>
      </c>
      <c r="AK1589">
        <v>3</v>
      </c>
      <c r="AL1589">
        <v>157.08</v>
      </c>
      <c r="AO1589" t="s">
        <v>1425</v>
      </c>
      <c r="AP1589">
        <v>53000</v>
      </c>
      <c r="AV1589">
        <v>7.9</v>
      </c>
      <c r="AW1589" t="s">
        <v>74</v>
      </c>
    </row>
    <row r="1590" spans="1:49">
      <c r="A1590" s="1">
        <f>HYPERLINK("https://cms.ls-nyc.org/matter/dynamic-profile/view/1887010","19-1887010")</f>
        <v>0</v>
      </c>
      <c r="B1590" t="s">
        <v>81</v>
      </c>
      <c r="C1590" t="s">
        <v>83</v>
      </c>
      <c r="D1590" t="s">
        <v>193</v>
      </c>
      <c r="F1590" t="s">
        <v>1368</v>
      </c>
      <c r="G1590" t="s">
        <v>1480</v>
      </c>
      <c r="H1590" t="s">
        <v>3831</v>
      </c>
      <c r="J1590" t="s">
        <v>4241</v>
      </c>
      <c r="K1590">
        <v>11368</v>
      </c>
      <c r="L1590" t="s">
        <v>4275</v>
      </c>
      <c r="M1590" t="s">
        <v>4275</v>
      </c>
      <c r="O1590" t="s">
        <v>4282</v>
      </c>
      <c r="P1590" t="s">
        <v>5724</v>
      </c>
      <c r="Q1590" t="s">
        <v>5731</v>
      </c>
      <c r="R1590" t="s">
        <v>5753</v>
      </c>
      <c r="T1590" t="s">
        <v>4276</v>
      </c>
      <c r="V1590" t="s">
        <v>5767</v>
      </c>
      <c r="W1590" t="s">
        <v>5772</v>
      </c>
      <c r="X1590" t="s">
        <v>193</v>
      </c>
      <c r="Y1590">
        <v>1250</v>
      </c>
      <c r="Z1590" t="s">
        <v>5803</v>
      </c>
      <c r="AA1590" t="s">
        <v>5804</v>
      </c>
      <c r="AC1590" t="s">
        <v>7271</v>
      </c>
      <c r="AE1590" t="s">
        <v>9260</v>
      </c>
      <c r="AF1590">
        <v>0</v>
      </c>
      <c r="AG1590" t="s">
        <v>9269</v>
      </c>
      <c r="AH1590" t="s">
        <v>4280</v>
      </c>
      <c r="AI1590">
        <v>15</v>
      </c>
      <c r="AJ1590">
        <v>2</v>
      </c>
      <c r="AK1590">
        <v>1</v>
      </c>
      <c r="AL1590">
        <v>159.08</v>
      </c>
      <c r="AO1590" t="s">
        <v>9298</v>
      </c>
      <c r="AP1590">
        <v>33057.03</v>
      </c>
      <c r="AV1590">
        <v>2</v>
      </c>
      <c r="AW1590" t="s">
        <v>81</v>
      </c>
    </row>
    <row r="1591" spans="1:49">
      <c r="A1591" s="1">
        <f>HYPERLINK("https://cms.ls-nyc.org/matter/dynamic-profile/view/1897590","19-1897590")</f>
        <v>0</v>
      </c>
      <c r="B1591" t="s">
        <v>81</v>
      </c>
      <c r="C1591" t="s">
        <v>83</v>
      </c>
      <c r="D1591" t="s">
        <v>107</v>
      </c>
      <c r="F1591" t="s">
        <v>547</v>
      </c>
      <c r="G1591" t="s">
        <v>2486</v>
      </c>
      <c r="H1591" t="s">
        <v>3832</v>
      </c>
      <c r="J1591" t="s">
        <v>4222</v>
      </c>
      <c r="K1591">
        <v>11433</v>
      </c>
      <c r="L1591" t="s">
        <v>4275</v>
      </c>
      <c r="M1591" t="s">
        <v>4275</v>
      </c>
      <c r="O1591" t="s">
        <v>4281</v>
      </c>
      <c r="P1591" t="s">
        <v>5725</v>
      </c>
      <c r="Q1591" t="s">
        <v>5731</v>
      </c>
      <c r="R1591" t="s">
        <v>5753</v>
      </c>
      <c r="T1591" t="s">
        <v>4276</v>
      </c>
      <c r="V1591" t="s">
        <v>5767</v>
      </c>
      <c r="X1591" t="s">
        <v>107</v>
      </c>
      <c r="Y1591">
        <v>2500</v>
      </c>
      <c r="Z1591" t="s">
        <v>5803</v>
      </c>
      <c r="AA1591" t="s">
        <v>5805</v>
      </c>
      <c r="AC1591" t="s">
        <v>7272</v>
      </c>
      <c r="AE1591" t="s">
        <v>9261</v>
      </c>
      <c r="AF1591">
        <v>0</v>
      </c>
      <c r="AG1591" t="s">
        <v>9270</v>
      </c>
      <c r="AH1591" t="s">
        <v>4280</v>
      </c>
      <c r="AI1591">
        <v>2</v>
      </c>
      <c r="AJ1591">
        <v>1</v>
      </c>
      <c r="AK1591">
        <v>1</v>
      </c>
      <c r="AL1591">
        <v>166.06</v>
      </c>
      <c r="AO1591" t="s">
        <v>1425</v>
      </c>
      <c r="AP1591">
        <v>28080</v>
      </c>
      <c r="AV1591">
        <v>5.7</v>
      </c>
      <c r="AW1591" t="s">
        <v>54</v>
      </c>
    </row>
    <row r="1592" spans="1:49">
      <c r="A1592" s="1">
        <f>HYPERLINK("https://cms.ls-nyc.org/matter/dynamic-profile/view/1900590","19-1900590")</f>
        <v>0</v>
      </c>
      <c r="B1592" t="s">
        <v>81</v>
      </c>
      <c r="C1592" t="s">
        <v>83</v>
      </c>
      <c r="D1592" t="s">
        <v>87</v>
      </c>
      <c r="F1592" t="s">
        <v>1369</v>
      </c>
      <c r="G1592" t="s">
        <v>956</v>
      </c>
      <c r="H1592" t="s">
        <v>3833</v>
      </c>
      <c r="I1592" t="s">
        <v>3866</v>
      </c>
      <c r="J1592" t="s">
        <v>4235</v>
      </c>
      <c r="K1592">
        <v>11421</v>
      </c>
      <c r="L1592" t="s">
        <v>4275</v>
      </c>
      <c r="M1592" t="s">
        <v>4277</v>
      </c>
      <c r="N1592" t="s">
        <v>4278</v>
      </c>
      <c r="O1592" t="s">
        <v>4282</v>
      </c>
      <c r="P1592" t="s">
        <v>4765</v>
      </c>
      <c r="Q1592" t="s">
        <v>5732</v>
      </c>
      <c r="R1592" t="s">
        <v>5752</v>
      </c>
      <c r="T1592" t="s">
        <v>4276</v>
      </c>
      <c r="V1592" t="s">
        <v>5767</v>
      </c>
      <c r="X1592" t="s">
        <v>87</v>
      </c>
      <c r="Y1592">
        <v>3000</v>
      </c>
      <c r="Z1592" t="s">
        <v>5803</v>
      </c>
      <c r="AA1592" t="s">
        <v>5804</v>
      </c>
      <c r="AC1592" t="s">
        <v>7273</v>
      </c>
      <c r="AD1592" t="s">
        <v>7846</v>
      </c>
      <c r="AE1592" t="s">
        <v>9262</v>
      </c>
      <c r="AF1592">
        <v>1</v>
      </c>
      <c r="AG1592" t="s">
        <v>9270</v>
      </c>
      <c r="AH1592" t="s">
        <v>4280</v>
      </c>
      <c r="AI1592">
        <v>4</v>
      </c>
      <c r="AJ1592">
        <v>3</v>
      </c>
      <c r="AK1592">
        <v>3</v>
      </c>
      <c r="AL1592">
        <v>167.68</v>
      </c>
      <c r="AO1592" t="s">
        <v>1425</v>
      </c>
      <c r="AP1592">
        <v>58000</v>
      </c>
      <c r="AV1592">
        <v>0.3</v>
      </c>
      <c r="AW1592" t="s">
        <v>54</v>
      </c>
    </row>
    <row r="1593" spans="1:49">
      <c r="A1593" s="1">
        <f>HYPERLINK("https://cms.ls-nyc.org/matter/dynamic-profile/view/1882727","18-1882727")</f>
        <v>0</v>
      </c>
      <c r="B1593" t="s">
        <v>81</v>
      </c>
      <c r="C1593" t="s">
        <v>82</v>
      </c>
      <c r="D1593" t="s">
        <v>111</v>
      </c>
      <c r="E1593" t="s">
        <v>282</v>
      </c>
      <c r="F1593" t="s">
        <v>1370</v>
      </c>
      <c r="G1593" t="s">
        <v>2487</v>
      </c>
      <c r="H1593" t="s">
        <v>3834</v>
      </c>
      <c r="I1593" t="s">
        <v>3878</v>
      </c>
      <c r="J1593" t="s">
        <v>4236</v>
      </c>
      <c r="K1593">
        <v>11416</v>
      </c>
      <c r="L1593" t="s">
        <v>4275</v>
      </c>
      <c r="M1593" t="s">
        <v>4275</v>
      </c>
      <c r="O1593" t="s">
        <v>4282</v>
      </c>
      <c r="P1593" t="s">
        <v>5726</v>
      </c>
      <c r="Q1593" t="s">
        <v>5732</v>
      </c>
      <c r="R1593" t="s">
        <v>5753</v>
      </c>
      <c r="S1593" t="s">
        <v>5759</v>
      </c>
      <c r="T1593" t="s">
        <v>4276</v>
      </c>
      <c r="V1593" t="s">
        <v>5767</v>
      </c>
      <c r="W1593" t="s">
        <v>5772</v>
      </c>
      <c r="X1593" t="s">
        <v>111</v>
      </c>
      <c r="Y1593">
        <v>700</v>
      </c>
      <c r="Z1593" t="s">
        <v>5803</v>
      </c>
      <c r="AA1593" t="s">
        <v>5804</v>
      </c>
      <c r="AB1593" t="s">
        <v>5821</v>
      </c>
      <c r="AC1593" t="s">
        <v>7274</v>
      </c>
      <c r="AE1593" t="s">
        <v>9263</v>
      </c>
      <c r="AF1593">
        <v>2</v>
      </c>
      <c r="AG1593" t="s">
        <v>9269</v>
      </c>
      <c r="AH1593" t="s">
        <v>4280</v>
      </c>
      <c r="AI1593">
        <v>3</v>
      </c>
      <c r="AJ1593">
        <v>1</v>
      </c>
      <c r="AK1593">
        <v>0</v>
      </c>
      <c r="AL1593">
        <v>171.33</v>
      </c>
      <c r="AO1593" t="s">
        <v>1425</v>
      </c>
      <c r="AP1593">
        <v>20800</v>
      </c>
      <c r="AV1593">
        <v>2.25</v>
      </c>
      <c r="AW1593" t="s">
        <v>73</v>
      </c>
    </row>
    <row r="1594" spans="1:49">
      <c r="A1594" s="1">
        <f>HYPERLINK("https://cms.ls-nyc.org/matter/dynamic-profile/view/1900717","19-1900717")</f>
        <v>0</v>
      </c>
      <c r="B1594" t="s">
        <v>81</v>
      </c>
      <c r="C1594" t="s">
        <v>83</v>
      </c>
      <c r="D1594" t="s">
        <v>97</v>
      </c>
      <c r="F1594" t="s">
        <v>1371</v>
      </c>
      <c r="G1594" t="s">
        <v>2488</v>
      </c>
      <c r="H1594" t="s">
        <v>3835</v>
      </c>
      <c r="I1594" t="s">
        <v>3867</v>
      </c>
      <c r="J1594" t="s">
        <v>4225</v>
      </c>
      <c r="K1594">
        <v>11385</v>
      </c>
      <c r="L1594" t="s">
        <v>4275</v>
      </c>
      <c r="M1594" t="s">
        <v>4277</v>
      </c>
      <c r="N1594" t="s">
        <v>4278</v>
      </c>
      <c r="O1594" t="s">
        <v>4281</v>
      </c>
      <c r="P1594" t="s">
        <v>5727</v>
      </c>
      <c r="Q1594" t="s">
        <v>5732</v>
      </c>
      <c r="R1594" t="s">
        <v>5751</v>
      </c>
      <c r="T1594" t="s">
        <v>4276</v>
      </c>
      <c r="V1594" t="s">
        <v>5767</v>
      </c>
      <c r="X1594" t="s">
        <v>97</v>
      </c>
      <c r="Y1594">
        <v>2200</v>
      </c>
      <c r="Z1594" t="s">
        <v>5803</v>
      </c>
      <c r="AA1594" t="s">
        <v>5805</v>
      </c>
      <c r="AC1594" t="s">
        <v>7275</v>
      </c>
      <c r="AE1594" t="s">
        <v>9264</v>
      </c>
      <c r="AF1594">
        <v>2</v>
      </c>
      <c r="AG1594" t="s">
        <v>9269</v>
      </c>
      <c r="AH1594" t="s">
        <v>4280</v>
      </c>
      <c r="AI1594">
        <v>2</v>
      </c>
      <c r="AJ1594">
        <v>2</v>
      </c>
      <c r="AK1594">
        <v>2</v>
      </c>
      <c r="AL1594">
        <v>193.86</v>
      </c>
      <c r="AO1594" t="s">
        <v>1425</v>
      </c>
      <c r="AP1594">
        <v>49920</v>
      </c>
      <c r="AV1594">
        <v>3.3</v>
      </c>
      <c r="AW1594" t="s">
        <v>54</v>
      </c>
    </row>
    <row r="1595" spans="1:49">
      <c r="A1595" s="1">
        <f>HYPERLINK("https://cms.ls-nyc.org/matter/dynamic-profile/view/1880760","18-1880760")</f>
        <v>0</v>
      </c>
      <c r="B1595" t="s">
        <v>81</v>
      </c>
      <c r="C1595" t="s">
        <v>83</v>
      </c>
      <c r="D1595" t="s">
        <v>84</v>
      </c>
      <c r="F1595" t="s">
        <v>1372</v>
      </c>
      <c r="G1595" t="s">
        <v>2489</v>
      </c>
      <c r="H1595" t="s">
        <v>3294</v>
      </c>
      <c r="J1595" t="s">
        <v>4222</v>
      </c>
      <c r="K1595">
        <v>11434</v>
      </c>
      <c r="L1595" t="s">
        <v>4275</v>
      </c>
      <c r="M1595" t="s">
        <v>4275</v>
      </c>
      <c r="O1595" t="s">
        <v>4281</v>
      </c>
      <c r="P1595" t="s">
        <v>5728</v>
      </c>
      <c r="Q1595" t="s">
        <v>5731</v>
      </c>
      <c r="R1595" t="s">
        <v>5751</v>
      </c>
      <c r="T1595" t="s">
        <v>4276</v>
      </c>
      <c r="V1595" t="s">
        <v>5767</v>
      </c>
      <c r="W1595" t="s">
        <v>5772</v>
      </c>
      <c r="X1595" t="s">
        <v>84</v>
      </c>
      <c r="Y1595">
        <v>1466</v>
      </c>
      <c r="Z1595" t="s">
        <v>5803</v>
      </c>
      <c r="AA1595" t="s">
        <v>5804</v>
      </c>
      <c r="AC1595" t="s">
        <v>7276</v>
      </c>
      <c r="AE1595" t="s">
        <v>9265</v>
      </c>
      <c r="AF1595">
        <v>273</v>
      </c>
      <c r="AG1595" t="s">
        <v>9273</v>
      </c>
      <c r="AH1595" t="s">
        <v>4280</v>
      </c>
      <c r="AI1595">
        <v>36</v>
      </c>
      <c r="AJ1595">
        <v>1</v>
      </c>
      <c r="AK1595">
        <v>0</v>
      </c>
      <c r="AL1595">
        <v>197.69</v>
      </c>
      <c r="AO1595" t="s">
        <v>1425</v>
      </c>
      <c r="AP1595">
        <v>24000</v>
      </c>
      <c r="AV1595">
        <v>91.5</v>
      </c>
      <c r="AW1595" t="s">
        <v>54</v>
      </c>
    </row>
    <row r="1596" spans="1:49">
      <c r="A1596" s="1">
        <f>HYPERLINK("https://cms.ls-nyc.org/matter/dynamic-profile/view/1883268","18-1883268")</f>
        <v>0</v>
      </c>
      <c r="B1596" t="s">
        <v>81</v>
      </c>
      <c r="C1596" t="s">
        <v>82</v>
      </c>
      <c r="D1596" t="s">
        <v>145</v>
      </c>
      <c r="E1596" t="s">
        <v>282</v>
      </c>
      <c r="F1596" t="s">
        <v>890</v>
      </c>
      <c r="G1596" t="s">
        <v>2490</v>
      </c>
      <c r="H1596" t="s">
        <v>3836</v>
      </c>
      <c r="I1596" t="s">
        <v>4220</v>
      </c>
      <c r="J1596" t="s">
        <v>4222</v>
      </c>
      <c r="K1596">
        <v>11435</v>
      </c>
      <c r="L1596" t="s">
        <v>4275</v>
      </c>
      <c r="M1596" t="s">
        <v>4275</v>
      </c>
      <c r="O1596" t="s">
        <v>4282</v>
      </c>
      <c r="P1596" t="s">
        <v>5729</v>
      </c>
      <c r="Q1596" t="s">
        <v>5732</v>
      </c>
      <c r="R1596" t="s">
        <v>5753</v>
      </c>
      <c r="S1596" t="s">
        <v>5759</v>
      </c>
      <c r="T1596" t="s">
        <v>4276</v>
      </c>
      <c r="V1596" t="s">
        <v>5767</v>
      </c>
      <c r="W1596" t="s">
        <v>5772</v>
      </c>
      <c r="Y1596">
        <v>600</v>
      </c>
      <c r="Z1596" t="s">
        <v>5803</v>
      </c>
      <c r="AA1596" t="s">
        <v>5804</v>
      </c>
      <c r="AB1596" t="s">
        <v>5821</v>
      </c>
      <c r="AC1596" t="s">
        <v>7277</v>
      </c>
      <c r="AD1596" t="s">
        <v>7847</v>
      </c>
      <c r="AE1596" t="s">
        <v>9266</v>
      </c>
      <c r="AF1596">
        <v>2</v>
      </c>
      <c r="AG1596" t="s">
        <v>9269</v>
      </c>
      <c r="AH1596" t="s">
        <v>4280</v>
      </c>
      <c r="AI1596">
        <v>34</v>
      </c>
      <c r="AJ1596">
        <v>2</v>
      </c>
      <c r="AK1596">
        <v>1</v>
      </c>
      <c r="AL1596">
        <v>225.72</v>
      </c>
      <c r="AO1596" t="s">
        <v>1425</v>
      </c>
      <c r="AP1596">
        <v>46904</v>
      </c>
      <c r="AV1596">
        <v>3.1</v>
      </c>
      <c r="AW1596" t="s">
        <v>73</v>
      </c>
    </row>
    <row r="1597" spans="1:49">
      <c r="A1597" s="1">
        <f>HYPERLINK("https://cms.ls-nyc.org/matter/dynamic-profile/view/1892265","19-1892265")</f>
        <v>0</v>
      </c>
      <c r="B1597" t="s">
        <v>81</v>
      </c>
      <c r="C1597" t="s">
        <v>83</v>
      </c>
      <c r="D1597" t="s">
        <v>101</v>
      </c>
      <c r="F1597" t="s">
        <v>1373</v>
      </c>
      <c r="G1597" t="s">
        <v>2491</v>
      </c>
      <c r="H1597" t="s">
        <v>3837</v>
      </c>
      <c r="I1597" t="s">
        <v>4221</v>
      </c>
      <c r="J1597" t="s">
        <v>4255</v>
      </c>
      <c r="K1597">
        <v>11372</v>
      </c>
      <c r="L1597" t="s">
        <v>4277</v>
      </c>
      <c r="M1597" t="s">
        <v>4277</v>
      </c>
      <c r="O1597" t="s">
        <v>4282</v>
      </c>
      <c r="P1597" t="s">
        <v>5730</v>
      </c>
      <c r="Q1597" t="s">
        <v>5732</v>
      </c>
      <c r="R1597" t="s">
        <v>5751</v>
      </c>
      <c r="V1597" t="s">
        <v>5767</v>
      </c>
      <c r="Y1597">
        <v>1450</v>
      </c>
      <c r="Z1597" t="s">
        <v>5803</v>
      </c>
      <c r="AA1597" t="s">
        <v>5804</v>
      </c>
      <c r="AC1597" t="s">
        <v>7278</v>
      </c>
      <c r="AE1597" t="s">
        <v>9267</v>
      </c>
      <c r="AF1597">
        <v>0</v>
      </c>
      <c r="AI1597">
        <v>15</v>
      </c>
      <c r="AJ1597">
        <v>2</v>
      </c>
      <c r="AK1597">
        <v>0</v>
      </c>
      <c r="AL1597">
        <v>459.85</v>
      </c>
      <c r="AO1597" t="s">
        <v>1425</v>
      </c>
      <c r="AP1597">
        <v>77760</v>
      </c>
      <c r="AV1597">
        <v>60</v>
      </c>
      <c r="AW159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2019-06-21T20:15:13Z</dcterms:created>
  <dcterms:modified xsi:type="dcterms:W3CDTF">2019-06-21T20:15:13Z</dcterms:modified>
</cp:coreProperties>
</file>