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<sst xmlns="http://schemas.openxmlformats.org/spreadsheetml/2006/main" count="6873" uniqueCount="2115">
  <si>
    <t>Hyperlinked Case #</t>
  </si>
  <si>
    <t>Primary Funding Code</t>
  </si>
  <si>
    <t>Client First Name</t>
  </si>
  <si>
    <t>Client Last Name</t>
  </si>
  <si>
    <t>Street Address</t>
  </si>
  <si>
    <t>City</t>
  </si>
  <si>
    <t>Zip Code</t>
  </si>
  <si>
    <t>Housing Income Verification Method</t>
  </si>
  <si>
    <t xml:space="preserve">  PA Case Number</t>
  </si>
  <si>
    <t xml:space="preserve">Date of the DHCI </t>
  </si>
  <si>
    <t>Number of People 18 and Over</t>
  </si>
  <si>
    <t>Number of People under 18</t>
  </si>
  <si>
    <t>Percentage of Poverty</t>
  </si>
  <si>
    <t>3018 Tenant Rights Coalition (TRC)</t>
  </si>
  <si>
    <t>3011 TRC FJC Initiative</t>
  </si>
  <si>
    <t>Rosa</t>
  </si>
  <si>
    <t>Derrick</t>
  </si>
  <si>
    <t>Teddy</t>
  </si>
  <si>
    <t>Joseph</t>
  </si>
  <si>
    <t>An</t>
  </si>
  <si>
    <t>Tamerlane</t>
  </si>
  <si>
    <t>Preethi</t>
  </si>
  <si>
    <t>Kenneth</t>
  </si>
  <si>
    <t>Gary</t>
  </si>
  <si>
    <t>Audrey</t>
  </si>
  <si>
    <t>Agnes</t>
  </si>
  <si>
    <t>Nicole</t>
  </si>
  <si>
    <t>Lesley</t>
  </si>
  <si>
    <t>Brian</t>
  </si>
  <si>
    <t>Nancy</t>
  </si>
  <si>
    <t>Jacquelynn</t>
  </si>
  <si>
    <t>Carolyn</t>
  </si>
  <si>
    <t>Jaya</t>
  </si>
  <si>
    <t>Laura</t>
  </si>
  <si>
    <t>Vernell</t>
  </si>
  <si>
    <t>Eric</t>
  </si>
  <si>
    <t>Daniel</t>
  </si>
  <si>
    <t>Waleska</t>
  </si>
  <si>
    <t>Jacqueline</t>
  </si>
  <si>
    <t>Maria</t>
  </si>
  <si>
    <t>Edwin</t>
  </si>
  <si>
    <t>Russell</t>
  </si>
  <si>
    <t>Diane</t>
  </si>
  <si>
    <t>Flora</t>
  </si>
  <si>
    <t>Ivan</t>
  </si>
  <si>
    <t>Alicia</t>
  </si>
  <si>
    <t>Dulce</t>
  </si>
  <si>
    <t>Josephina</t>
  </si>
  <si>
    <t>Carl</t>
  </si>
  <si>
    <t>Luisa</t>
  </si>
  <si>
    <t>Abdullai</t>
  </si>
  <si>
    <t>Dolores</t>
  </si>
  <si>
    <t>Ana</t>
  </si>
  <si>
    <t>Sandra</t>
  </si>
  <si>
    <t>Primanedga</t>
  </si>
  <si>
    <t>Tony</t>
  </si>
  <si>
    <t>Olga</t>
  </si>
  <si>
    <t>Binbing</t>
  </si>
  <si>
    <t>Rafiah</t>
  </si>
  <si>
    <t>Jerome</t>
  </si>
  <si>
    <t>Mallchandra</t>
  </si>
  <si>
    <t>Julia</t>
  </si>
  <si>
    <t>John</t>
  </si>
  <si>
    <t>Abdelaali</t>
  </si>
  <si>
    <t>Lewis</t>
  </si>
  <si>
    <t>Daniela</t>
  </si>
  <si>
    <t>Mercedes</t>
  </si>
  <si>
    <t>Raushan</t>
  </si>
  <si>
    <t>Justin</t>
  </si>
  <si>
    <t>Xuejie</t>
  </si>
  <si>
    <t>Antron</t>
  </si>
  <si>
    <t>Reneise</t>
  </si>
  <si>
    <t>James</t>
  </si>
  <si>
    <t>Myron</t>
  </si>
  <si>
    <t>David</t>
  </si>
  <si>
    <t>Darryl</t>
  </si>
  <si>
    <t>Amanda</t>
  </si>
  <si>
    <t>Michael</t>
  </si>
  <si>
    <t>Kafula</t>
  </si>
  <si>
    <t>Javier</t>
  </si>
  <si>
    <t>Changbiao</t>
  </si>
  <si>
    <t>Angela</t>
  </si>
  <si>
    <t>Tara</t>
  </si>
  <si>
    <t>Linda</t>
  </si>
  <si>
    <t>Andrei</t>
  </si>
  <si>
    <t>Stacy</t>
  </si>
  <si>
    <t>Marina</t>
  </si>
  <si>
    <t>Noah</t>
  </si>
  <si>
    <t>Diana</t>
  </si>
  <si>
    <t>Dudley</t>
  </si>
  <si>
    <t>Mary</t>
  </si>
  <si>
    <t>Lillian</t>
  </si>
  <si>
    <t>Priscilla</t>
  </si>
  <si>
    <t>Jacob</t>
  </si>
  <si>
    <t>Lauren</t>
  </si>
  <si>
    <t>Terrance</t>
  </si>
  <si>
    <t>Santiago</t>
  </si>
  <si>
    <t>Noel</t>
  </si>
  <si>
    <t>Jose</t>
  </si>
  <si>
    <t>elizabeth</t>
  </si>
  <si>
    <t>Florinda</t>
  </si>
  <si>
    <t>Elisa</t>
  </si>
  <si>
    <t>Kathy</t>
  </si>
  <si>
    <t>Steven</t>
  </si>
  <si>
    <t>Stephanie</t>
  </si>
  <si>
    <t>Gerard</t>
  </si>
  <si>
    <t>Angel</t>
  </si>
  <si>
    <t>Jayson</t>
  </si>
  <si>
    <t>Georgina</t>
  </si>
  <si>
    <t>Joann</t>
  </si>
  <si>
    <t>William</t>
  </si>
  <si>
    <t>Jin</t>
  </si>
  <si>
    <t>Sharon</t>
  </si>
  <si>
    <t>Robert</t>
  </si>
  <si>
    <t>Charles</t>
  </si>
  <si>
    <t>Terry</t>
  </si>
  <si>
    <t>Ashok</t>
  </si>
  <si>
    <t>Ann</t>
  </si>
  <si>
    <t>Debra</t>
  </si>
  <si>
    <t>Santa</t>
  </si>
  <si>
    <t>Nathalie</t>
  </si>
  <si>
    <t>Alesanicole</t>
  </si>
  <si>
    <t>Rosilyn</t>
  </si>
  <si>
    <t>Cheryl</t>
  </si>
  <si>
    <t>Abigail</t>
  </si>
  <si>
    <t>Richard</t>
  </si>
  <si>
    <t>Reggie</t>
  </si>
  <si>
    <t>Edward</t>
  </si>
  <si>
    <t>Alfredo</t>
  </si>
  <si>
    <t>Lavien</t>
  </si>
  <si>
    <t>Irwin</t>
  </si>
  <si>
    <t>Carmen</t>
  </si>
  <si>
    <t>Kaisa</t>
  </si>
  <si>
    <t>Magaly</t>
  </si>
  <si>
    <t>Samuel</t>
  </si>
  <si>
    <t>Barry</t>
  </si>
  <si>
    <t>Margarita</t>
  </si>
  <si>
    <t>Valerie</t>
  </si>
  <si>
    <t>Norman</t>
  </si>
  <si>
    <t>Rose</t>
  </si>
  <si>
    <t>Lizette</t>
  </si>
  <si>
    <t>Gladys</t>
  </si>
  <si>
    <t>Jimmy</t>
  </si>
  <si>
    <t>Milagros</t>
  </si>
  <si>
    <t>Beverly</t>
  </si>
  <si>
    <t>Christine</t>
  </si>
  <si>
    <t>Delroy</t>
  </si>
  <si>
    <t>Troy</t>
  </si>
  <si>
    <t>Yolanda</t>
  </si>
  <si>
    <t>Judy</t>
  </si>
  <si>
    <t>Andrew</t>
  </si>
  <si>
    <t>Hongxia</t>
  </si>
  <si>
    <t>Silvia</t>
  </si>
  <si>
    <t>Lydia</t>
  </si>
  <si>
    <t>Wanda</t>
  </si>
  <si>
    <t>Juan</t>
  </si>
  <si>
    <t>Jon</t>
  </si>
  <si>
    <t>Rosalind</t>
  </si>
  <si>
    <t>Julius</t>
  </si>
  <si>
    <t>Evelyn</t>
  </si>
  <si>
    <t>Contrese</t>
  </si>
  <si>
    <t>Myra</t>
  </si>
  <si>
    <t>Yvonne</t>
  </si>
  <si>
    <t>Momodou</t>
  </si>
  <si>
    <t>Felipa</t>
  </si>
  <si>
    <t>Luis</t>
  </si>
  <si>
    <t>Lourdes</t>
  </si>
  <si>
    <t>April</t>
  </si>
  <si>
    <t>Jonathan</t>
  </si>
  <si>
    <t>Chauncey</t>
  </si>
  <si>
    <t>Tanya</t>
  </si>
  <si>
    <t>Samantha</t>
  </si>
  <si>
    <t>Frederick</t>
  </si>
  <si>
    <t>Elizabeth</t>
  </si>
  <si>
    <t>Maritza</t>
  </si>
  <si>
    <t>Ralph</t>
  </si>
  <si>
    <t>Travell</t>
  </si>
  <si>
    <t>Lena</t>
  </si>
  <si>
    <t>Euletta</t>
  </si>
  <si>
    <t>Raymond</t>
  </si>
  <si>
    <t>Tedroy</t>
  </si>
  <si>
    <t>Shari</t>
  </si>
  <si>
    <t>Howard</t>
  </si>
  <si>
    <t>Patricia</t>
  </si>
  <si>
    <t>Monica</t>
  </si>
  <si>
    <t>Dania</t>
  </si>
  <si>
    <t>Lynette</t>
  </si>
  <si>
    <t>Bozana</t>
  </si>
  <si>
    <t>Geraldo</t>
  </si>
  <si>
    <t>Katty</t>
  </si>
  <si>
    <t>Katherine</t>
  </si>
  <si>
    <t>Theresa</t>
  </si>
  <si>
    <t>Klirista</t>
  </si>
  <si>
    <t>Elsa</t>
  </si>
  <si>
    <t>Judith</t>
  </si>
  <si>
    <t>Fausto</t>
  </si>
  <si>
    <t>Hong Rui</t>
  </si>
  <si>
    <t>Gregory</t>
  </si>
  <si>
    <t>Lidia</t>
  </si>
  <si>
    <t>Shirley</t>
  </si>
  <si>
    <t>Emmanuel</t>
  </si>
  <si>
    <t>Gyiani</t>
  </si>
  <si>
    <t>Ada</t>
  </si>
  <si>
    <t>Devette</t>
  </si>
  <si>
    <t>Diego</t>
  </si>
  <si>
    <t>Edgar</t>
  </si>
  <si>
    <t>Farah</t>
  </si>
  <si>
    <t>Sakinah</t>
  </si>
  <si>
    <t>Hilda</t>
  </si>
  <si>
    <t>Melissa</t>
  </si>
  <si>
    <t>Chad</t>
  </si>
  <si>
    <t>Lucy</t>
  </si>
  <si>
    <t>Sollinda</t>
  </si>
  <si>
    <t>Rebeca</t>
  </si>
  <si>
    <t>Martin</t>
  </si>
  <si>
    <t>Roberto</t>
  </si>
  <si>
    <t>Pierre</t>
  </si>
  <si>
    <t>Sylvia</t>
  </si>
  <si>
    <t>Stanford</t>
  </si>
  <si>
    <t>Ludis</t>
  </si>
  <si>
    <t>Manuel</t>
  </si>
  <si>
    <t>Clara</t>
  </si>
  <si>
    <t>Kyoung Nim</t>
  </si>
  <si>
    <t>Jaime</t>
  </si>
  <si>
    <t>Tina</t>
  </si>
  <si>
    <t>Mercy</t>
  </si>
  <si>
    <t>Aida</t>
  </si>
  <si>
    <t>Robin</t>
  </si>
  <si>
    <t>Teresa</t>
  </si>
  <si>
    <t>Luigia</t>
  </si>
  <si>
    <t>Paralee</t>
  </si>
  <si>
    <t>Abdul</t>
  </si>
  <si>
    <t>Lorraine</t>
  </si>
  <si>
    <t>Mikhail</t>
  </si>
  <si>
    <t>Andrea</t>
  </si>
  <si>
    <t>Leola</t>
  </si>
  <si>
    <t>Louise</t>
  </si>
  <si>
    <t>George</t>
  </si>
  <si>
    <t>Toshima</t>
  </si>
  <si>
    <t>Clifford</t>
  </si>
  <si>
    <t>Eloisa</t>
  </si>
  <si>
    <t>Jorge</t>
  </si>
  <si>
    <t>Musu</t>
  </si>
  <si>
    <t>Elvira</t>
  </si>
  <si>
    <t>Nouel</t>
  </si>
  <si>
    <t>Fay</t>
  </si>
  <si>
    <t>Romula</t>
  </si>
  <si>
    <t>Anne</t>
  </si>
  <si>
    <t>Brunilda</t>
  </si>
  <si>
    <t>Joy</t>
  </si>
  <si>
    <t>Barreiro</t>
  </si>
  <si>
    <t>Paul</t>
  </si>
  <si>
    <t>Julie Ann</t>
  </si>
  <si>
    <t>Sikhumbuzo</t>
  </si>
  <si>
    <t>Donna</t>
  </si>
  <si>
    <t>Mohammed</t>
  </si>
  <si>
    <t>Cecelia</t>
  </si>
  <si>
    <t>Engracia</t>
  </si>
  <si>
    <t>Amelia</t>
  </si>
  <si>
    <t>Severina</t>
  </si>
  <si>
    <t>Leonard</t>
  </si>
  <si>
    <t>Zoila</t>
  </si>
  <si>
    <t>Barbara</t>
  </si>
  <si>
    <t>Eddine</t>
  </si>
  <si>
    <t>Grisel</t>
  </si>
  <si>
    <t>Altagracia</t>
  </si>
  <si>
    <t>Alexis</t>
  </si>
  <si>
    <t>Minerva</t>
  </si>
  <si>
    <t>Dinorah</t>
  </si>
  <si>
    <t>Xiomara</t>
  </si>
  <si>
    <t>Jocelyn</t>
  </si>
  <si>
    <t>Paula</t>
  </si>
  <si>
    <t>Tatiana</t>
  </si>
  <si>
    <t>Ligia</t>
  </si>
  <si>
    <t>Elia</t>
  </si>
  <si>
    <t>Carlos</t>
  </si>
  <si>
    <t>Ingrid</t>
  </si>
  <si>
    <t>Pastora</t>
  </si>
  <si>
    <t>Terrell</t>
  </si>
  <si>
    <t>Estelle</t>
  </si>
  <si>
    <t>Zaida</t>
  </si>
  <si>
    <t>Patric</t>
  </si>
  <si>
    <t>Delia</t>
  </si>
  <si>
    <t>Nilda</t>
  </si>
  <si>
    <t>Esperanza</t>
  </si>
  <si>
    <t>Henrietta</t>
  </si>
  <si>
    <t>Veronica</t>
  </si>
  <si>
    <t>Felipe</t>
  </si>
  <si>
    <t>Rita</t>
  </si>
  <si>
    <t>Ramona</t>
  </si>
  <si>
    <t>Toby</t>
  </si>
  <si>
    <t>Tania</t>
  </si>
  <si>
    <t>Vanessa</t>
  </si>
  <si>
    <t>Luz</t>
  </si>
  <si>
    <t>Dalma</t>
  </si>
  <si>
    <t>Wo</t>
  </si>
  <si>
    <t>Mary Ellen</t>
  </si>
  <si>
    <t>Jesus</t>
  </si>
  <si>
    <t>Betsy</t>
  </si>
  <si>
    <t>Maricela</t>
  </si>
  <si>
    <t>Jum Sim</t>
  </si>
  <si>
    <t>Chaztatii</t>
  </si>
  <si>
    <t>Cynthia</t>
  </si>
  <si>
    <t>Clayton</t>
  </si>
  <si>
    <t>Thomas</t>
  </si>
  <si>
    <t>Leonida</t>
  </si>
  <si>
    <t>Ycelsa</t>
  </si>
  <si>
    <t>Myrtle</t>
  </si>
  <si>
    <t>Carol</t>
  </si>
  <si>
    <t>Arelis</t>
  </si>
  <si>
    <t>Michellene</t>
  </si>
  <si>
    <t>Bernard</t>
  </si>
  <si>
    <t>Deanna</t>
  </si>
  <si>
    <t>Fatima</t>
  </si>
  <si>
    <t>Kathleen</t>
  </si>
  <si>
    <t>Sophia</t>
  </si>
  <si>
    <t>Zenaida</t>
  </si>
  <si>
    <t>Darell</t>
  </si>
  <si>
    <t>Marilyn</t>
  </si>
  <si>
    <t>Germania</t>
  </si>
  <si>
    <t>Denise</t>
  </si>
  <si>
    <t>Mildred</t>
  </si>
  <si>
    <t>Martha</t>
  </si>
  <si>
    <t>Francisco</t>
  </si>
  <si>
    <t>Serena</t>
  </si>
  <si>
    <t>Fred</t>
  </si>
  <si>
    <t>Evette</t>
  </si>
  <si>
    <t>Yoon Mo</t>
  </si>
  <si>
    <t>Karen</t>
  </si>
  <si>
    <t>Emily</t>
  </si>
  <si>
    <t>Tatyana</t>
  </si>
  <si>
    <t>Abrenda</t>
  </si>
  <si>
    <t>Wilburn</t>
  </si>
  <si>
    <t>Tamareya</t>
  </si>
  <si>
    <t>Melania</t>
  </si>
  <si>
    <t>Akua</t>
  </si>
  <si>
    <t>Ardeisha</t>
  </si>
  <si>
    <t>Aracelis</t>
  </si>
  <si>
    <t>Wendy</t>
  </si>
  <si>
    <t>Ursula</t>
  </si>
  <si>
    <t>Annmarie</t>
  </si>
  <si>
    <t>Elba</t>
  </si>
  <si>
    <t>Julie</t>
  </si>
  <si>
    <t>Corine</t>
  </si>
  <si>
    <t>Stephen</t>
  </si>
  <si>
    <t>Janet</t>
  </si>
  <si>
    <t>Sidney</t>
  </si>
  <si>
    <t>Soon</t>
  </si>
  <si>
    <t>Eleanor</t>
  </si>
  <si>
    <t>Lisa</t>
  </si>
  <si>
    <t>Ganna</t>
  </si>
  <si>
    <t>Celeste</t>
  </si>
  <si>
    <t>Fun Fong</t>
  </si>
  <si>
    <t>Shaquana</t>
  </si>
  <si>
    <t>Amarilis</t>
  </si>
  <si>
    <t>Patrick</t>
  </si>
  <si>
    <t>Nohelia</t>
  </si>
  <si>
    <t>Dennis</t>
  </si>
  <si>
    <t>Marianela</t>
  </si>
  <si>
    <t>Sylvester</t>
  </si>
  <si>
    <t>Felix</t>
  </si>
  <si>
    <t>Jin Sung</t>
  </si>
  <si>
    <t>Mauro</t>
  </si>
  <si>
    <t>Fitzroy</t>
  </si>
  <si>
    <t>Francisca</t>
  </si>
  <si>
    <t>Juanita</t>
  </si>
  <si>
    <t>Martisha</t>
  </si>
  <si>
    <t>Alix</t>
  </si>
  <si>
    <t>Jerry</t>
  </si>
  <si>
    <t>Harold</t>
  </si>
  <si>
    <t>Kim</t>
  </si>
  <si>
    <t>Clarence</t>
  </si>
  <si>
    <t>Shaon</t>
  </si>
  <si>
    <t>Norma</t>
  </si>
  <si>
    <t>Agustin</t>
  </si>
  <si>
    <t>Phillip</t>
  </si>
  <si>
    <t>Pilar</t>
  </si>
  <si>
    <t>Julio</t>
  </si>
  <si>
    <t>Arlester</t>
  </si>
  <si>
    <t>Rene</t>
  </si>
  <si>
    <t>Dominga</t>
  </si>
  <si>
    <t>Eva</t>
  </si>
  <si>
    <t>Victoria</t>
  </si>
  <si>
    <t>Lucia</t>
  </si>
  <si>
    <t>Brannon</t>
  </si>
  <si>
    <t>JOSEPHINE</t>
  </si>
  <si>
    <t>Johnnie</t>
  </si>
  <si>
    <t>Jewel</t>
  </si>
  <si>
    <t>Wilner</t>
  </si>
  <si>
    <t>Tamika</t>
  </si>
  <si>
    <t>Ray</t>
  </si>
  <si>
    <t>Genovera</t>
  </si>
  <si>
    <t>Zulma</t>
  </si>
  <si>
    <t>Larry</t>
  </si>
  <si>
    <t>Sun</t>
  </si>
  <si>
    <t>Rhonda</t>
  </si>
  <si>
    <t>Chantal</t>
  </si>
  <si>
    <t>Elena</t>
  </si>
  <si>
    <t>Virginia</t>
  </si>
  <si>
    <t>Candida</t>
  </si>
  <si>
    <t>Darlene</t>
  </si>
  <si>
    <t>Benita</t>
  </si>
  <si>
    <t>Dayougar</t>
  </si>
  <si>
    <t>Deborah</t>
  </si>
  <si>
    <t>Emilio</t>
  </si>
  <si>
    <t>Flor</t>
  </si>
  <si>
    <t>Thelma</t>
  </si>
  <si>
    <t>Lina</t>
  </si>
  <si>
    <t>Peter</t>
  </si>
  <si>
    <t>Josefa</t>
  </si>
  <si>
    <t>January</t>
  </si>
  <si>
    <t>Carmelo</t>
  </si>
  <si>
    <t>Jazmin</t>
  </si>
  <si>
    <t>Ida</t>
  </si>
  <si>
    <t>Crimilda</t>
  </si>
  <si>
    <t>Alfonso</t>
  </si>
  <si>
    <t>Eusebio</t>
  </si>
  <si>
    <t>Gregorio</t>
  </si>
  <si>
    <t>Reinaldo</t>
  </si>
  <si>
    <t>Ines</t>
  </si>
  <si>
    <t>Ydalia</t>
  </si>
  <si>
    <t>Hattie</t>
  </si>
  <si>
    <t>Margareth</t>
  </si>
  <si>
    <t>Donisha</t>
  </si>
  <si>
    <t>A Juliet</t>
  </si>
  <si>
    <t>Bingquan</t>
  </si>
  <si>
    <t>Harouna</t>
  </si>
  <si>
    <t>Rubin</t>
  </si>
  <si>
    <t>Anthony</t>
  </si>
  <si>
    <t>Aleida</t>
  </si>
  <si>
    <t>Davie</t>
  </si>
  <si>
    <t>Tracey</t>
  </si>
  <si>
    <t>Vilma</t>
  </si>
  <si>
    <t>Christopher</t>
  </si>
  <si>
    <t>Marlene</t>
  </si>
  <si>
    <t>Bernadette</t>
  </si>
  <si>
    <t>Kevin</t>
  </si>
  <si>
    <t>Rafael</t>
  </si>
  <si>
    <t>Sonia</t>
  </si>
  <si>
    <t>Rogerio</t>
  </si>
  <si>
    <t>Doris</t>
  </si>
  <si>
    <t>Octavia</t>
  </si>
  <si>
    <t>Salvador</t>
  </si>
  <si>
    <t>Niolka</t>
  </si>
  <si>
    <t>Angie</t>
  </si>
  <si>
    <t>Megnal</t>
  </si>
  <si>
    <t>Miriam</t>
  </si>
  <si>
    <t>Mariana</t>
  </si>
  <si>
    <t>Bismallah</t>
  </si>
  <si>
    <t>Claudette</t>
  </si>
  <si>
    <t>Gayle</t>
  </si>
  <si>
    <t>Eufemia</t>
  </si>
  <si>
    <t>Jack</t>
  </si>
  <si>
    <t>Juana</t>
  </si>
  <si>
    <t>Joselyn</t>
  </si>
  <si>
    <t>Tracy</t>
  </si>
  <si>
    <t>Ellen</t>
  </si>
  <si>
    <t>Ruth</t>
  </si>
  <si>
    <t>Dorothy</t>
  </si>
  <si>
    <t>Nirca</t>
  </si>
  <si>
    <t>Mayra</t>
  </si>
  <si>
    <t>Helene</t>
  </si>
  <si>
    <t>Vera</t>
  </si>
  <si>
    <t>Laurel</t>
  </si>
  <si>
    <t>Vadlyn</t>
  </si>
  <si>
    <t>Timothy</t>
  </si>
  <si>
    <t>Christina</t>
  </si>
  <si>
    <t>Glendora</t>
  </si>
  <si>
    <t>Mutasim</t>
  </si>
  <si>
    <t>Concetta</t>
  </si>
  <si>
    <t>Antonio</t>
  </si>
  <si>
    <t>Humberto</t>
  </si>
  <si>
    <t>Erica</t>
  </si>
  <si>
    <t>Eveline</t>
  </si>
  <si>
    <t>Alice</t>
  </si>
  <si>
    <t>Charisse</t>
  </si>
  <si>
    <t>Antonia</t>
  </si>
  <si>
    <t>Zobeida</t>
  </si>
  <si>
    <t>Zulema</t>
  </si>
  <si>
    <t>Cesar</t>
  </si>
  <si>
    <t>Miree</t>
  </si>
  <si>
    <t>Debbie</t>
  </si>
  <si>
    <t>Joaris</t>
  </si>
  <si>
    <t>Sylvi</t>
  </si>
  <si>
    <t>Glenda</t>
  </si>
  <si>
    <t>Irene</t>
  </si>
  <si>
    <t>Febrina</t>
  </si>
  <si>
    <t>Orlando</t>
  </si>
  <si>
    <t>Indra</t>
  </si>
  <si>
    <t>Ylma</t>
  </si>
  <si>
    <t>Joe</t>
  </si>
  <si>
    <t>Marcia</t>
  </si>
  <si>
    <t>Fatawu</t>
  </si>
  <si>
    <t>Fiordaliza</t>
  </si>
  <si>
    <t>Nemesis</t>
  </si>
  <si>
    <t>Talbert</t>
  </si>
  <si>
    <t>Geni</t>
  </si>
  <si>
    <t>Garo</t>
  </si>
  <si>
    <t>Christelene</t>
  </si>
  <si>
    <t>Cathi</t>
  </si>
  <si>
    <t>Viviana</t>
  </si>
  <si>
    <t>Margaret</t>
  </si>
  <si>
    <t>Jan</t>
  </si>
  <si>
    <t>MD</t>
  </si>
  <si>
    <t>Narciso</t>
  </si>
  <si>
    <t>Mujahid</t>
  </si>
  <si>
    <t>Delta</t>
  </si>
  <si>
    <t>Ivelisse</t>
  </si>
  <si>
    <t>Janie</t>
  </si>
  <si>
    <t>Damon</t>
  </si>
  <si>
    <t>Isabel</t>
  </si>
  <si>
    <t>Delfina</t>
  </si>
  <si>
    <t>Mavis</t>
  </si>
  <si>
    <t>Amalia</t>
  </si>
  <si>
    <t>Dalila</t>
  </si>
  <si>
    <t>Lumary</t>
  </si>
  <si>
    <t>Janette</t>
  </si>
  <si>
    <t>Cora</t>
  </si>
  <si>
    <t>Daouda</t>
  </si>
  <si>
    <t>Keith</t>
  </si>
  <si>
    <t>Norberto</t>
  </si>
  <si>
    <t>Mark</t>
  </si>
  <si>
    <t>Andre</t>
  </si>
  <si>
    <t>Yanet</t>
  </si>
  <si>
    <t>Caridad</t>
  </si>
  <si>
    <t>Johnny</t>
  </si>
  <si>
    <t>Sharren</t>
  </si>
  <si>
    <t>Jacinta</t>
  </si>
  <si>
    <t>Kun Ling</t>
  </si>
  <si>
    <t>Teodora</t>
  </si>
  <si>
    <t>Saundra</t>
  </si>
  <si>
    <t>Lupe</t>
  </si>
  <si>
    <t>Rebecca</t>
  </si>
  <si>
    <t>Tamar</t>
  </si>
  <si>
    <t>Matilde</t>
  </si>
  <si>
    <t>Raul</t>
  </si>
  <si>
    <t>Ysonia</t>
  </si>
  <si>
    <t>Evaristo</t>
  </si>
  <si>
    <t>Lilia</t>
  </si>
  <si>
    <t>Gloria</t>
  </si>
  <si>
    <t>Md. Assaduzzaman</t>
  </si>
  <si>
    <t>Cecilia</t>
  </si>
  <si>
    <t>Altagrace</t>
  </si>
  <si>
    <t>Michelle</t>
  </si>
  <si>
    <t>Delsy</t>
  </si>
  <si>
    <t>Maura</t>
  </si>
  <si>
    <t>Isaiah</t>
  </si>
  <si>
    <t>Mau Fong</t>
  </si>
  <si>
    <t>Aydin</t>
  </si>
  <si>
    <t>Ygnacio</t>
  </si>
  <si>
    <t>Giacinta</t>
  </si>
  <si>
    <t>Danilo</t>
  </si>
  <si>
    <t>Geraldine</t>
  </si>
  <si>
    <t>Amaury</t>
  </si>
  <si>
    <t>Kristen</t>
  </si>
  <si>
    <t>Clementina</t>
  </si>
  <si>
    <t>Mardoqueo</t>
  </si>
  <si>
    <t>Othoniel</t>
  </si>
  <si>
    <t>Alonzo</t>
  </si>
  <si>
    <t>Darrell</t>
  </si>
  <si>
    <t>Suleika</t>
  </si>
  <si>
    <t>Odalis</t>
  </si>
  <si>
    <t>Dolly</t>
  </si>
  <si>
    <t>Kelcey</t>
  </si>
  <si>
    <t>Michaela</t>
  </si>
  <si>
    <t>Monique</t>
  </si>
  <si>
    <t>Lennie</t>
  </si>
  <si>
    <t>Kenia</t>
  </si>
  <si>
    <t>Alzira</t>
  </si>
  <si>
    <t>Janice</t>
  </si>
  <si>
    <t>Placido</t>
  </si>
  <si>
    <t>Jay</t>
  </si>
  <si>
    <t>Jeannette</t>
  </si>
  <si>
    <t>Blanca</t>
  </si>
  <si>
    <t>Alexander</t>
  </si>
  <si>
    <t>Leslie</t>
  </si>
  <si>
    <t>Yesenia</t>
  </si>
  <si>
    <t>Henry</t>
  </si>
  <si>
    <t>Charmaine</t>
  </si>
  <si>
    <t>Sergia</t>
  </si>
  <si>
    <t>Reuben</t>
  </si>
  <si>
    <t>Alba</t>
  </si>
  <si>
    <t>Arleen</t>
  </si>
  <si>
    <t>Zelma</t>
  </si>
  <si>
    <t>Dionna</t>
  </si>
  <si>
    <t>Padmini</t>
  </si>
  <si>
    <t>Penny</t>
  </si>
  <si>
    <t>Lynchell</t>
  </si>
  <si>
    <t>Anita</t>
  </si>
  <si>
    <t>Vincent</t>
  </si>
  <si>
    <t>Elminah</t>
  </si>
  <si>
    <t>Whitson</t>
  </si>
  <si>
    <t>Kamaria</t>
  </si>
  <si>
    <t>Shameka</t>
  </si>
  <si>
    <t>Occulhomme</t>
  </si>
  <si>
    <t>Ugurcan</t>
  </si>
  <si>
    <t>Gueye</t>
  </si>
  <si>
    <t>Aurora</t>
  </si>
  <si>
    <t>Jacquelin</t>
  </si>
  <si>
    <t>Sabrina</t>
  </si>
  <si>
    <t>Iyakka</t>
  </si>
  <si>
    <t>Latoya</t>
  </si>
  <si>
    <t>Beatriz</t>
  </si>
  <si>
    <t>Aixa</t>
  </si>
  <si>
    <t>Petro</t>
  </si>
  <si>
    <t>Cassandra</t>
  </si>
  <si>
    <t>Hector</t>
  </si>
  <si>
    <t>Hernan</t>
  </si>
  <si>
    <t>Flerida</t>
  </si>
  <si>
    <t>Govind</t>
  </si>
  <si>
    <t>Dawn</t>
  </si>
  <si>
    <t>Marsie</t>
  </si>
  <si>
    <t>Willie</t>
  </si>
  <si>
    <t>Florence</t>
  </si>
  <si>
    <t>Boris</t>
  </si>
  <si>
    <t>Claire</t>
  </si>
  <si>
    <t>Winston</t>
  </si>
  <si>
    <t>Knolly</t>
  </si>
  <si>
    <t>Digna</t>
  </si>
  <si>
    <t>Benito</t>
  </si>
  <si>
    <t>Roderick</t>
  </si>
  <si>
    <t>Eugene</t>
  </si>
  <si>
    <t>Rachel</t>
  </si>
  <si>
    <t>Meris</t>
  </si>
  <si>
    <t>Calvin</t>
  </si>
  <si>
    <t>Helen</t>
  </si>
  <si>
    <t>Pablo</t>
  </si>
  <si>
    <t>Mardie</t>
  </si>
  <si>
    <t>Chance</t>
  </si>
  <si>
    <t>Stavroula</t>
  </si>
  <si>
    <t>Rosemary</t>
  </si>
  <si>
    <t>Albania</t>
  </si>
  <si>
    <t>Tijuanna</t>
  </si>
  <si>
    <t>Eileen</t>
  </si>
  <si>
    <t>Doreen</t>
  </si>
  <si>
    <t>Pauline</t>
  </si>
  <si>
    <t>Susana</t>
  </si>
  <si>
    <t>Brenda</t>
  </si>
  <si>
    <t>Harrold</t>
  </si>
  <si>
    <t>Edilberto</t>
  </si>
  <si>
    <t>Reginald</t>
  </si>
  <si>
    <t>Bertha</t>
  </si>
  <si>
    <t>Benancio</t>
  </si>
  <si>
    <t>Le-Shaun</t>
  </si>
  <si>
    <t>Mordechai</t>
  </si>
  <si>
    <t>Mohamad</t>
  </si>
  <si>
    <t>Nery</t>
  </si>
  <si>
    <t>Enriqueta</t>
  </si>
  <si>
    <t>Dwayne</t>
  </si>
  <si>
    <t>Lalina</t>
  </si>
  <si>
    <t>Adrienne</t>
  </si>
  <si>
    <t>Ai</t>
  </si>
  <si>
    <t>Efrain</t>
  </si>
  <si>
    <t>Rashon</t>
  </si>
  <si>
    <t>Sheila</t>
  </si>
  <si>
    <t>Natividad</t>
  </si>
  <si>
    <t>Adelina</t>
  </si>
  <si>
    <t>Aludin</t>
  </si>
  <si>
    <t>Sundiata</t>
  </si>
  <si>
    <t>Erick</t>
  </si>
  <si>
    <t>Claro</t>
  </si>
  <si>
    <t>Shamel</t>
  </si>
  <si>
    <t>Dino</t>
  </si>
  <si>
    <t>Eddie</t>
  </si>
  <si>
    <t>Teonila</t>
  </si>
  <si>
    <t>Claribel</t>
  </si>
  <si>
    <t>Kou</t>
  </si>
  <si>
    <t>Kanayo</t>
  </si>
  <si>
    <t>Ruben</t>
  </si>
  <si>
    <t>Crisanta</t>
  </si>
  <si>
    <t>MaryAnn</t>
  </si>
  <si>
    <t>Jeffrey</t>
  </si>
  <si>
    <t>Norris</t>
  </si>
  <si>
    <t>Lev</t>
  </si>
  <si>
    <t>Angelica</t>
  </si>
  <si>
    <t>Regla</t>
  </si>
  <si>
    <t>Josefina</t>
  </si>
  <si>
    <t>Rui</t>
  </si>
  <si>
    <t>Verine</t>
  </si>
  <si>
    <t>Hyacinth</t>
  </si>
  <si>
    <t>Alberta</t>
  </si>
  <si>
    <t>Pedro</t>
  </si>
  <si>
    <t>Zidy</t>
  </si>
  <si>
    <t>Carolla</t>
  </si>
  <si>
    <t>Rosmira</t>
  </si>
  <si>
    <t>Andres</t>
  </si>
  <si>
    <t>Alex</t>
  </si>
  <si>
    <t>Aimmie</t>
  </si>
  <si>
    <t>Maressa</t>
  </si>
  <si>
    <t>Alfred</t>
  </si>
  <si>
    <t>Victor</t>
  </si>
  <si>
    <t>Eudacia</t>
  </si>
  <si>
    <t>Ramon</t>
  </si>
  <si>
    <t>Bertrand</t>
  </si>
  <si>
    <t>Rosalba</t>
  </si>
  <si>
    <t>Pamela</t>
  </si>
  <si>
    <t>Nidia</t>
  </si>
  <si>
    <t>Nadier</t>
  </si>
  <si>
    <t>Basiliza</t>
  </si>
  <si>
    <t>Ernest</t>
  </si>
  <si>
    <t>Ariel</t>
  </si>
  <si>
    <t>Marisol</t>
  </si>
  <si>
    <t>Diamante</t>
  </si>
  <si>
    <t>Amy</t>
  </si>
  <si>
    <t>Laurie</t>
  </si>
  <si>
    <t>Christian</t>
  </si>
  <si>
    <t>Amparo</t>
  </si>
  <si>
    <t>Mesha</t>
  </si>
  <si>
    <t>Virgilla</t>
  </si>
  <si>
    <t>Opal</t>
  </si>
  <si>
    <t>Scott</t>
  </si>
  <si>
    <t>Shameeka</t>
  </si>
  <si>
    <t>Elenia</t>
  </si>
  <si>
    <t>Washington</t>
  </si>
  <si>
    <t>Powell-Brown</t>
  </si>
  <si>
    <t>Williams</t>
  </si>
  <si>
    <t>Wyatt</t>
  </si>
  <si>
    <t>Zheng</t>
  </si>
  <si>
    <t>Bey</t>
  </si>
  <si>
    <t>Nath</t>
  </si>
  <si>
    <t>Taylor</t>
  </si>
  <si>
    <t>Blackett</t>
  </si>
  <si>
    <t>McNeill</t>
  </si>
  <si>
    <t>Patrong</t>
  </si>
  <si>
    <t>Salazar</t>
  </si>
  <si>
    <t>Unger</t>
  </si>
  <si>
    <t>Peebles</t>
  </si>
  <si>
    <t>Brito</t>
  </si>
  <si>
    <t>Armstrong</t>
  </si>
  <si>
    <t>Collins</t>
  </si>
  <si>
    <t>Brandon</t>
  </si>
  <si>
    <t>Ramirez</t>
  </si>
  <si>
    <t>Tross</t>
  </si>
  <si>
    <t>Watson</t>
  </si>
  <si>
    <t>Forbes</t>
  </si>
  <si>
    <t>Perez</t>
  </si>
  <si>
    <t>Hernandez</t>
  </si>
  <si>
    <t>Toussaint</t>
  </si>
  <si>
    <t>Cruz</t>
  </si>
  <si>
    <t>Vasquez</t>
  </si>
  <si>
    <t>Hart</t>
  </si>
  <si>
    <t>Rusiecki</t>
  </si>
  <si>
    <t>Hogans</t>
  </si>
  <si>
    <t>Gonzalez</t>
  </si>
  <si>
    <t>Mendoza</t>
  </si>
  <si>
    <t>Robinson</t>
  </si>
  <si>
    <t>De La Cruz</t>
  </si>
  <si>
    <t>Lopez</t>
  </si>
  <si>
    <t>Anderson</t>
  </si>
  <si>
    <t>Pimental</t>
  </si>
  <si>
    <t>Ortega</t>
  </si>
  <si>
    <t>Sallah</t>
  </si>
  <si>
    <t>Tejeda</t>
  </si>
  <si>
    <t>Guzman</t>
  </si>
  <si>
    <t>Picarello</t>
  </si>
  <si>
    <t>Jackson</t>
  </si>
  <si>
    <t>Johnson</t>
  </si>
  <si>
    <t>Lifshits</t>
  </si>
  <si>
    <t>Xie</t>
  </si>
  <si>
    <t>Otho</t>
  </si>
  <si>
    <t>Datt</t>
  </si>
  <si>
    <t>Jones</t>
  </si>
  <si>
    <t>Romano</t>
  </si>
  <si>
    <t>Touzani</t>
  </si>
  <si>
    <t>Caldwell</t>
  </si>
  <si>
    <t>Polanco</t>
  </si>
  <si>
    <t>Bertin</t>
  </si>
  <si>
    <t>Boswell</t>
  </si>
  <si>
    <t>Seabrook</t>
  </si>
  <si>
    <t>He</t>
  </si>
  <si>
    <t>Pope-English</t>
  </si>
  <si>
    <t>Palminteri</t>
  </si>
  <si>
    <t>Walker</t>
  </si>
  <si>
    <t>Acevedo</t>
  </si>
  <si>
    <t>Simmons</t>
  </si>
  <si>
    <t>Gueits</t>
  </si>
  <si>
    <t>Leone</t>
  </si>
  <si>
    <t>Chileshe</t>
  </si>
  <si>
    <t>Rodriguez</t>
  </si>
  <si>
    <t>Lin</t>
  </si>
  <si>
    <t>Beharry</t>
  </si>
  <si>
    <t>Negron</t>
  </si>
  <si>
    <t>Rosado</t>
  </si>
  <si>
    <t>Jaynes</t>
  </si>
  <si>
    <t>Rvalov</t>
  </si>
  <si>
    <t>Burke</t>
  </si>
  <si>
    <t>Guerrero</t>
  </si>
  <si>
    <t>Passy</t>
  </si>
  <si>
    <t>Ramsey</t>
  </si>
  <si>
    <t>Ceneus</t>
  </si>
  <si>
    <t>Jessup</t>
  </si>
  <si>
    <t>Muriel</t>
  </si>
  <si>
    <t>Justiniano</t>
  </si>
  <si>
    <t>Pena</t>
  </si>
  <si>
    <t>Commiso</t>
  </si>
  <si>
    <t>Tarr</t>
  </si>
  <si>
    <t>Kemp</t>
  </si>
  <si>
    <t>Handy</t>
  </si>
  <si>
    <t>Flores Paredes</t>
  </si>
  <si>
    <t>Willis</t>
  </si>
  <si>
    <t>martinez</t>
  </si>
  <si>
    <t>Reynoso</t>
  </si>
  <si>
    <t>Alvarez Simono</t>
  </si>
  <si>
    <t>Cox</t>
  </si>
  <si>
    <t>Brown</t>
  </si>
  <si>
    <t>Diallo</t>
  </si>
  <si>
    <t>Jefferson</t>
  </si>
  <si>
    <t>Stewart</t>
  </si>
  <si>
    <t>Woolley</t>
  </si>
  <si>
    <t>Baus</t>
  </si>
  <si>
    <t>Climes</t>
  </si>
  <si>
    <t>Petersen</t>
  </si>
  <si>
    <t>Craig</t>
  </si>
  <si>
    <t>Chen</t>
  </si>
  <si>
    <t>Smith</t>
  </si>
  <si>
    <t>Buchfuhrer</t>
  </si>
  <si>
    <t>Houston</t>
  </si>
  <si>
    <t>St. Catherine</t>
  </si>
  <si>
    <t>Varma</t>
  </si>
  <si>
    <t>Cahill</t>
  </si>
  <si>
    <t>Brea</t>
  </si>
  <si>
    <t>Hazzard</t>
  </si>
  <si>
    <t>Combs</t>
  </si>
  <si>
    <t>Sanon</t>
  </si>
  <si>
    <t>Luncheon</t>
  </si>
  <si>
    <t>Diaz</t>
  </si>
  <si>
    <t>Zaugg</t>
  </si>
  <si>
    <t>Bryant</t>
  </si>
  <si>
    <t>Dean</t>
  </si>
  <si>
    <t>Colon</t>
  </si>
  <si>
    <t>Sales</t>
  </si>
  <si>
    <t>Pagan</t>
  </si>
  <si>
    <t>Ajaye</t>
  </si>
  <si>
    <t>Ramos</t>
  </si>
  <si>
    <t>Parnell</t>
  </si>
  <si>
    <t>Alston</t>
  </si>
  <si>
    <t>Rivera</t>
  </si>
  <si>
    <t>Walrond</t>
  </si>
  <si>
    <t>Surgeon</t>
  </si>
  <si>
    <t>Rolon</t>
  </si>
  <si>
    <t>Santana</t>
  </si>
  <si>
    <t>Martinez</t>
  </si>
  <si>
    <t>Turner</t>
  </si>
  <si>
    <t>Soto</t>
  </si>
  <si>
    <t>Echevarria</t>
  </si>
  <si>
    <t>Gomez</t>
  </si>
  <si>
    <t>Arias</t>
  </si>
  <si>
    <t>Baker</t>
  </si>
  <si>
    <t>Case</t>
  </si>
  <si>
    <t>Kwon</t>
  </si>
  <si>
    <t>Cordero</t>
  </si>
  <si>
    <t>Burrowes</t>
  </si>
  <si>
    <t>Abskhairoun</t>
  </si>
  <si>
    <t>Wang</t>
  </si>
  <si>
    <t>Sanchez</t>
  </si>
  <si>
    <t>Quevedo</t>
  </si>
  <si>
    <t>Valle</t>
  </si>
  <si>
    <t>Marte</t>
  </si>
  <si>
    <t>Estrella</t>
  </si>
  <si>
    <t>Senatus</t>
  </si>
  <si>
    <t>Austin</t>
  </si>
  <si>
    <t>Freeman</t>
  </si>
  <si>
    <t>Maldonado</t>
  </si>
  <si>
    <t>Jenkins</t>
  </si>
  <si>
    <t>Pacifico</t>
  </si>
  <si>
    <t>McKelvey</t>
  </si>
  <si>
    <t>Sonko</t>
  </si>
  <si>
    <t>Garcia</t>
  </si>
  <si>
    <t>Pilarte</t>
  </si>
  <si>
    <t>Paulino</t>
  </si>
  <si>
    <t>Pinkney</t>
  </si>
  <si>
    <t>Atwell</t>
  </si>
  <si>
    <t>Fleischhauer</t>
  </si>
  <si>
    <t>Threets</t>
  </si>
  <si>
    <t>Cains</t>
  </si>
  <si>
    <t>Wells</t>
  </si>
  <si>
    <t>Ince</t>
  </si>
  <si>
    <t>Cockerl</t>
  </si>
  <si>
    <t>Knight</t>
  </si>
  <si>
    <t>Melendez</t>
  </si>
  <si>
    <t>Ceville</t>
  </si>
  <si>
    <t>Proctor</t>
  </si>
  <si>
    <t>Matzken</t>
  </si>
  <si>
    <t>Jordan</t>
  </si>
  <si>
    <t>Barnes</t>
  </si>
  <si>
    <t>Sutherland</t>
  </si>
  <si>
    <t>Linen</t>
  </si>
  <si>
    <t>Fleming</t>
  </si>
  <si>
    <t>Giddings</t>
  </si>
  <si>
    <t>Velez</t>
  </si>
  <si>
    <t>Almonte</t>
  </si>
  <si>
    <t>Moreau</t>
  </si>
  <si>
    <t>Cobbs-Golden</t>
  </si>
  <si>
    <t>Jimenez</t>
  </si>
  <si>
    <t>Hill</t>
  </si>
  <si>
    <t>Pang</t>
  </si>
  <si>
    <t>Cawley</t>
  </si>
  <si>
    <t>Carver</t>
  </si>
  <si>
    <t>Reyes Martinez</t>
  </si>
  <si>
    <t>Ruffino</t>
  </si>
  <si>
    <t>Yusuf</t>
  </si>
  <si>
    <t>Coleman</t>
  </si>
  <si>
    <t>Santiesteban</t>
  </si>
  <si>
    <t>Spencer</t>
  </si>
  <si>
    <t>Molina</t>
  </si>
  <si>
    <t>Whitfield</t>
  </si>
  <si>
    <t>Vazquez</t>
  </si>
  <si>
    <t>Nayyar</t>
  </si>
  <si>
    <t>Thurmond</t>
  </si>
  <si>
    <t>Peralta</t>
  </si>
  <si>
    <t>Phillips</t>
  </si>
  <si>
    <t>Arroyo</t>
  </si>
  <si>
    <t>Pacheco</t>
  </si>
  <si>
    <t>Lemus</t>
  </si>
  <si>
    <t>Theodore</t>
  </si>
  <si>
    <t>Cabrera</t>
  </si>
  <si>
    <t>Parchment</t>
  </si>
  <si>
    <t>Montilla</t>
  </si>
  <si>
    <t>Salome</t>
  </si>
  <si>
    <t>Jheong</t>
  </si>
  <si>
    <t>Caraballo</t>
  </si>
  <si>
    <t>Millan</t>
  </si>
  <si>
    <t>Beltran</t>
  </si>
  <si>
    <t>Morales</t>
  </si>
  <si>
    <t>McClucksey</t>
  </si>
  <si>
    <t>Tarrats</t>
  </si>
  <si>
    <t>Fadli</t>
  </si>
  <si>
    <t>Osbourne Garlinton</t>
  </si>
  <si>
    <t>Kamara</t>
  </si>
  <si>
    <t>Dargan</t>
  </si>
  <si>
    <t>Zolotarev</t>
  </si>
  <si>
    <t>Nunez</t>
  </si>
  <si>
    <t>McCoy</t>
  </si>
  <si>
    <t>Liriano</t>
  </si>
  <si>
    <t>Sucarato</t>
  </si>
  <si>
    <t>Panagakos</t>
  </si>
  <si>
    <t>Garner</t>
  </si>
  <si>
    <t>Oakley</t>
  </si>
  <si>
    <t>Ruiz</t>
  </si>
  <si>
    <t>Benu</t>
  </si>
  <si>
    <t>Headrington</t>
  </si>
  <si>
    <t>Torres</t>
  </si>
  <si>
    <t>Murray</t>
  </si>
  <si>
    <t>Strodes</t>
  </si>
  <si>
    <t>Anglero</t>
  </si>
  <si>
    <t>Dicapua</t>
  </si>
  <si>
    <t>Montalvo</t>
  </si>
  <si>
    <t>Wiseman</t>
  </si>
  <si>
    <t>Segundo</t>
  </si>
  <si>
    <t>Thervil</t>
  </si>
  <si>
    <t>Robles</t>
  </si>
  <si>
    <t>Lucas</t>
  </si>
  <si>
    <t>Kunene</t>
  </si>
  <si>
    <t>Warnick</t>
  </si>
  <si>
    <t>Budram</t>
  </si>
  <si>
    <t>Salimi</t>
  </si>
  <si>
    <t>Curry</t>
  </si>
  <si>
    <t>Urena</t>
  </si>
  <si>
    <t>Espinosa</t>
  </si>
  <si>
    <t>Encarnacion</t>
  </si>
  <si>
    <t>Ventura</t>
  </si>
  <si>
    <t>Lugay</t>
  </si>
  <si>
    <t>Keyes</t>
  </si>
  <si>
    <t>Lebron</t>
  </si>
  <si>
    <t>Reed</t>
  </si>
  <si>
    <t>Bonilla</t>
  </si>
  <si>
    <t>Rios</t>
  </si>
  <si>
    <t>Vicioso</t>
  </si>
  <si>
    <t>Dublin</t>
  </si>
  <si>
    <t>Lendebory</t>
  </si>
  <si>
    <t>Coogan</t>
  </si>
  <si>
    <t>Fajardo</t>
  </si>
  <si>
    <t>Argentin</t>
  </si>
  <si>
    <t>Sosa</t>
  </si>
  <si>
    <t>Lao</t>
  </si>
  <si>
    <t>Patrone</t>
  </si>
  <si>
    <t>Alvarado</t>
  </si>
  <si>
    <t>Matos</t>
  </si>
  <si>
    <t>Solomon</t>
  </si>
  <si>
    <t>Cachola</t>
  </si>
  <si>
    <t>Carbuccia</t>
  </si>
  <si>
    <t>Caldero</t>
  </si>
  <si>
    <t>Monroe</t>
  </si>
  <si>
    <t>Mellado</t>
  </si>
  <si>
    <t>Commissiong</t>
  </si>
  <si>
    <t>Rendon</t>
  </si>
  <si>
    <t>Crawford</t>
  </si>
  <si>
    <t>Otero</t>
  </si>
  <si>
    <t>Budnetz</t>
  </si>
  <si>
    <t>Tenzer</t>
  </si>
  <si>
    <t>Monegro</t>
  </si>
  <si>
    <t>Falu</t>
  </si>
  <si>
    <t>Urena-Perez</t>
  </si>
  <si>
    <t>Plaza</t>
  </si>
  <si>
    <t>Henriquez</t>
  </si>
  <si>
    <t>Vargas</t>
  </si>
  <si>
    <t>Patterson</t>
  </si>
  <si>
    <t>Hazel</t>
  </si>
  <si>
    <t>Reyes</t>
  </si>
  <si>
    <t>Elliott</t>
  </si>
  <si>
    <t>Vega</t>
  </si>
  <si>
    <t>Go</t>
  </si>
  <si>
    <t>Collado</t>
  </si>
  <si>
    <t>Keene</t>
  </si>
  <si>
    <t>Abelino</t>
  </si>
  <si>
    <t>Yim</t>
  </si>
  <si>
    <t>Valentine</t>
  </si>
  <si>
    <t>Jones (HO)</t>
  </si>
  <si>
    <t>Jones (HP)</t>
  </si>
  <si>
    <t>Jones (NP)</t>
  </si>
  <si>
    <t>Haynes</t>
  </si>
  <si>
    <t>Miranda</t>
  </si>
  <si>
    <t>Richiez</t>
  </si>
  <si>
    <t>Zapata</t>
  </si>
  <si>
    <t>Ogando</t>
  </si>
  <si>
    <t>Gaskin</t>
  </si>
  <si>
    <t>Pitter</t>
  </si>
  <si>
    <t>Maduro</t>
  </si>
  <si>
    <t>Collazo</t>
  </si>
  <si>
    <t>Askins</t>
  </si>
  <si>
    <t>Moore</t>
  </si>
  <si>
    <t>McKenzie</t>
  </si>
  <si>
    <t>Caughey</t>
  </si>
  <si>
    <t>Mcpherson</t>
  </si>
  <si>
    <t>Montero</t>
  </si>
  <si>
    <t>Hicks</t>
  </si>
  <si>
    <t>Mullins</t>
  </si>
  <si>
    <t>Recabarren</t>
  </si>
  <si>
    <t>Mejia</t>
  </si>
  <si>
    <t>Pineda</t>
  </si>
  <si>
    <t>Bernardez</t>
  </si>
  <si>
    <t>Estevez</t>
  </si>
  <si>
    <t>Galan</t>
  </si>
  <si>
    <t>Gates</t>
  </si>
  <si>
    <t>Diez</t>
  </si>
  <si>
    <t>Cataquet</t>
  </si>
  <si>
    <t>Urman</t>
  </si>
  <si>
    <t>Carnegie</t>
  </si>
  <si>
    <t>Easom</t>
  </si>
  <si>
    <t>Pearsall</t>
  </si>
  <si>
    <t>Porter</t>
  </si>
  <si>
    <t>Obie</t>
  </si>
  <si>
    <t>Payamps</t>
  </si>
  <si>
    <t>Donaldson</t>
  </si>
  <si>
    <t>McDermott</t>
  </si>
  <si>
    <t>De Aza</t>
  </si>
  <si>
    <t>Leon</t>
  </si>
  <si>
    <t>Tranquada</t>
  </si>
  <si>
    <t>White</t>
  </si>
  <si>
    <t>Wrisdon</t>
  </si>
  <si>
    <t>Boria</t>
  </si>
  <si>
    <t>De Pena</t>
  </si>
  <si>
    <t>Ombongo-Golden</t>
  </si>
  <si>
    <t>Sebyatika</t>
  </si>
  <si>
    <t>Adomako</t>
  </si>
  <si>
    <t>Aaron</t>
  </si>
  <si>
    <t>Trowell</t>
  </si>
  <si>
    <t>DiPaola</t>
  </si>
  <si>
    <t>Teel</t>
  </si>
  <si>
    <t>DeLuCa</t>
  </si>
  <si>
    <t>Eng</t>
  </si>
  <si>
    <t>Malloy</t>
  </si>
  <si>
    <t>Del Rosario</t>
  </si>
  <si>
    <t>Fitzpatrick</t>
  </si>
  <si>
    <t>Cohen</t>
  </si>
  <si>
    <t>Rojas</t>
  </si>
  <si>
    <t>Archie</t>
  </si>
  <si>
    <t>Huertas</t>
  </si>
  <si>
    <t>Buenrostro</t>
  </si>
  <si>
    <t>Jeong</t>
  </si>
  <si>
    <t>Wilson</t>
  </si>
  <si>
    <t>Delgado</t>
  </si>
  <si>
    <t>Walsh</t>
  </si>
  <si>
    <t>Francois</t>
  </si>
  <si>
    <t>Floyd</t>
  </si>
  <si>
    <t>Oyola</t>
  </si>
  <si>
    <t>Lee</t>
  </si>
  <si>
    <t>Osorio</t>
  </si>
  <si>
    <t>Genao</t>
  </si>
  <si>
    <t>Gautier</t>
  </si>
  <si>
    <t>Tillman</t>
  </si>
  <si>
    <t>Bookman</t>
  </si>
  <si>
    <t>Ahmed</t>
  </si>
  <si>
    <t>Holmes</t>
  </si>
  <si>
    <t>Placeres</t>
  </si>
  <si>
    <t>Lugo</t>
  </si>
  <si>
    <t>Minkins</t>
  </si>
  <si>
    <t>Liz</t>
  </si>
  <si>
    <t>Corbett</t>
  </si>
  <si>
    <t>Feliciano</t>
  </si>
  <si>
    <t>Lapaix</t>
  </si>
  <si>
    <t>Arguelles</t>
  </si>
  <si>
    <t>Skinner</t>
  </si>
  <si>
    <t>Rosell</t>
  </si>
  <si>
    <t>BELLO</t>
  </si>
  <si>
    <t>Coburn</t>
  </si>
  <si>
    <t>McNear</t>
  </si>
  <si>
    <t>Sanguinetti</t>
  </si>
  <si>
    <t>Sims</t>
  </si>
  <si>
    <t>Dubresil</t>
  </si>
  <si>
    <t>Perkins</t>
  </si>
  <si>
    <t>Brooks</t>
  </si>
  <si>
    <t>Tuten</t>
  </si>
  <si>
    <t>Kyung</t>
  </si>
  <si>
    <t>Morgan</t>
  </si>
  <si>
    <t>Navarro</t>
  </si>
  <si>
    <t>Bouchereau</t>
  </si>
  <si>
    <t>Tavarez</t>
  </si>
  <si>
    <t>O'Connor</t>
  </si>
  <si>
    <t>Davis</t>
  </si>
  <si>
    <t>Bowe</t>
  </si>
  <si>
    <t>Jayqua</t>
  </si>
  <si>
    <t>Valerio</t>
  </si>
  <si>
    <t>Bonner</t>
  </si>
  <si>
    <t>Murillo</t>
  </si>
  <si>
    <t>Toribio</t>
  </si>
  <si>
    <t>Read</t>
  </si>
  <si>
    <t>Taveras</t>
  </si>
  <si>
    <t>Jean</t>
  </si>
  <si>
    <t>Ofner</t>
  </si>
  <si>
    <t>Gatter</t>
  </si>
  <si>
    <t>Stevens</t>
  </si>
  <si>
    <t>Reid</t>
  </si>
  <si>
    <t>Matthews</t>
  </si>
  <si>
    <t>Mateo</t>
  </si>
  <si>
    <t>Alberto</t>
  </si>
  <si>
    <t>Mendez</t>
  </si>
  <si>
    <t>Andujar</t>
  </si>
  <si>
    <t>Aurich</t>
  </si>
  <si>
    <t>Rivas</t>
  </si>
  <si>
    <t>DePompo</t>
  </si>
  <si>
    <t>Estremera</t>
  </si>
  <si>
    <t>Coley</t>
  </si>
  <si>
    <t>Campbell</t>
  </si>
  <si>
    <t>Minier</t>
  </si>
  <si>
    <t>Boisson</t>
  </si>
  <si>
    <t>Li</t>
  </si>
  <si>
    <t>Kevelier</t>
  </si>
  <si>
    <t>Arce</t>
  </si>
  <si>
    <t>Hidalgo</t>
  </si>
  <si>
    <t>Gomes</t>
  </si>
  <si>
    <t>Medina</t>
  </si>
  <si>
    <t>Hankey</t>
  </si>
  <si>
    <t>Bermudez</t>
  </si>
  <si>
    <t>Hu</t>
  </si>
  <si>
    <t>Checo</t>
  </si>
  <si>
    <t>Ali</t>
  </si>
  <si>
    <t>Bland</t>
  </si>
  <si>
    <t>Landis</t>
  </si>
  <si>
    <t>Gilliam</t>
  </si>
  <si>
    <t>Betancourt</t>
  </si>
  <si>
    <t>Mantione</t>
  </si>
  <si>
    <t>De la Cruz</t>
  </si>
  <si>
    <t>Palomino</t>
  </si>
  <si>
    <t>Minns</t>
  </si>
  <si>
    <t>Buten</t>
  </si>
  <si>
    <t>Cooke</t>
  </si>
  <si>
    <t>Hayes</t>
  </si>
  <si>
    <t>Sprouse</t>
  </si>
  <si>
    <t>Castro</t>
  </si>
  <si>
    <t>Reynolds</t>
  </si>
  <si>
    <t>Almanzar</t>
  </si>
  <si>
    <t>Rodrigues</t>
  </si>
  <si>
    <t>Oliva</t>
  </si>
  <si>
    <t>Solano</t>
  </si>
  <si>
    <t>Feliz</t>
  </si>
  <si>
    <t>Bonifacio</t>
  </si>
  <si>
    <t>Miller</t>
  </si>
  <si>
    <t>Tabois</t>
  </si>
  <si>
    <t>Azizi</t>
  </si>
  <si>
    <t>Webster-Blair</t>
  </si>
  <si>
    <t>Abreu</t>
  </si>
  <si>
    <t>Laureano</t>
  </si>
  <si>
    <t>Fuller</t>
  </si>
  <si>
    <t>Ortiz</t>
  </si>
  <si>
    <t>Pereyra</t>
  </si>
  <si>
    <t>Ford</t>
  </si>
  <si>
    <t>Pichardo</t>
  </si>
  <si>
    <t>Leary</t>
  </si>
  <si>
    <t>Marajh</t>
  </si>
  <si>
    <t>Adames</t>
  </si>
  <si>
    <t>Leff</t>
  </si>
  <si>
    <t>Walcott</t>
  </si>
  <si>
    <t>Burns</t>
  </si>
  <si>
    <t>German</t>
  </si>
  <si>
    <t>Nublett</t>
  </si>
  <si>
    <t>Wright</t>
  </si>
  <si>
    <t>Fong</t>
  </si>
  <si>
    <t>King</t>
  </si>
  <si>
    <t>Muhammed</t>
  </si>
  <si>
    <t>Lentini</t>
  </si>
  <si>
    <t>Avecillas</t>
  </si>
  <si>
    <t>Hurd</t>
  </si>
  <si>
    <t>Buntin</t>
  </si>
  <si>
    <t>Ryan</t>
  </si>
  <si>
    <t>Avelino</t>
  </si>
  <si>
    <t>Dickerson</t>
  </si>
  <si>
    <t>Santos</t>
  </si>
  <si>
    <t>Lord</t>
  </si>
  <si>
    <t>Battista</t>
  </si>
  <si>
    <t>Grullon Pena</t>
  </si>
  <si>
    <t>Adams</t>
  </si>
  <si>
    <t>Geralds</t>
  </si>
  <si>
    <t>Warfield</t>
  </si>
  <si>
    <t>Meeks</t>
  </si>
  <si>
    <t>Ram</t>
  </si>
  <si>
    <t>Montanez</t>
  </si>
  <si>
    <t>Breton</t>
  </si>
  <si>
    <t>Gado</t>
  </si>
  <si>
    <t>Ferreira</t>
  </si>
  <si>
    <t>Laikin</t>
  </si>
  <si>
    <t>Veras</t>
  </si>
  <si>
    <t>Fredricks</t>
  </si>
  <si>
    <t>Madden</t>
  </si>
  <si>
    <t>Ohanian</t>
  </si>
  <si>
    <t>Cooper</t>
  </si>
  <si>
    <t>Bethea</t>
  </si>
  <si>
    <t>Key</t>
  </si>
  <si>
    <t>Gittens</t>
  </si>
  <si>
    <t>Estrada</t>
  </si>
  <si>
    <t>Saquic</t>
  </si>
  <si>
    <t>Deterville</t>
  </si>
  <si>
    <t>Charles Garrett</t>
  </si>
  <si>
    <t>Carreras</t>
  </si>
  <si>
    <t>Hus</t>
  </si>
  <si>
    <t>KHAN</t>
  </si>
  <si>
    <t>Salcedo</t>
  </si>
  <si>
    <t>Morman</t>
  </si>
  <si>
    <t>Tidwell</t>
  </si>
  <si>
    <t>Luzon</t>
  </si>
  <si>
    <t>Khan</t>
  </si>
  <si>
    <t>Baxter</t>
  </si>
  <si>
    <t>Bruno</t>
  </si>
  <si>
    <t>Rommieu Bido</t>
  </si>
  <si>
    <t>Cintron</t>
  </si>
  <si>
    <t>Diabate</t>
  </si>
  <si>
    <t>Jacobs</t>
  </si>
  <si>
    <t>Pellot</t>
  </si>
  <si>
    <t>Canales</t>
  </si>
  <si>
    <t>Nin</t>
  </si>
  <si>
    <t>Aguilera</t>
  </si>
  <si>
    <t>Holliday</t>
  </si>
  <si>
    <t>Calabrese</t>
  </si>
  <si>
    <t>Ricks</t>
  </si>
  <si>
    <t>Romain</t>
  </si>
  <si>
    <t>Duran</t>
  </si>
  <si>
    <t>Cepeda</t>
  </si>
  <si>
    <t>Yearwood</t>
  </si>
  <si>
    <t>Seelig</t>
  </si>
  <si>
    <t>Sharpe</t>
  </si>
  <si>
    <t>Carmel</t>
  </si>
  <si>
    <t>Lightstone</t>
  </si>
  <si>
    <t>Rogers</t>
  </si>
  <si>
    <t>Mazara</t>
  </si>
  <si>
    <t>Perez Santiago</t>
  </si>
  <si>
    <t>Nakazwe</t>
  </si>
  <si>
    <t>Madera</t>
  </si>
  <si>
    <t>Quezada</t>
  </si>
  <si>
    <t>Fretes</t>
  </si>
  <si>
    <t>Leyva</t>
  </si>
  <si>
    <t>Gregoire</t>
  </si>
  <si>
    <t>Aime</t>
  </si>
  <si>
    <t>Wudowsky</t>
  </si>
  <si>
    <t>Germoso</t>
  </si>
  <si>
    <t>Lora</t>
  </si>
  <si>
    <t>Musik-Ayala</t>
  </si>
  <si>
    <t>Yip</t>
  </si>
  <si>
    <t>Torun</t>
  </si>
  <si>
    <t>Weitzman</t>
  </si>
  <si>
    <t>Gambino</t>
  </si>
  <si>
    <t>Yumor</t>
  </si>
  <si>
    <t>McNish</t>
  </si>
  <si>
    <t>Liburd</t>
  </si>
  <si>
    <t>De la Rosa</t>
  </si>
  <si>
    <t>Michelus</t>
  </si>
  <si>
    <t>Hostos</t>
  </si>
  <si>
    <t>Vanloo</t>
  </si>
  <si>
    <t>Blackwood</t>
  </si>
  <si>
    <t>Medrano</t>
  </si>
  <si>
    <t>Omadhan</t>
  </si>
  <si>
    <t>Echenique</t>
  </si>
  <si>
    <t>Bidon</t>
  </si>
  <si>
    <t>Mojica</t>
  </si>
  <si>
    <t>Smiley</t>
  </si>
  <si>
    <t>Harris</t>
  </si>
  <si>
    <t>Hawkins</t>
  </si>
  <si>
    <t>Scales</t>
  </si>
  <si>
    <t>Sloan</t>
  </si>
  <si>
    <t>Escalante</t>
  </si>
  <si>
    <t>Pompeu</t>
  </si>
  <si>
    <t>Muia</t>
  </si>
  <si>
    <t>Baez</t>
  </si>
  <si>
    <t>Porro</t>
  </si>
  <si>
    <t>Bustamante</t>
  </si>
  <si>
    <t>Madison</t>
  </si>
  <si>
    <t>Sanders</t>
  </si>
  <si>
    <t>Ozuna</t>
  </si>
  <si>
    <t>Flores</t>
  </si>
  <si>
    <t>Rossy</t>
  </si>
  <si>
    <t>Wannamaker</t>
  </si>
  <si>
    <t>Cook</t>
  </si>
  <si>
    <t>Persaud</t>
  </si>
  <si>
    <t>Addison</t>
  </si>
  <si>
    <t>Caicedo</t>
  </si>
  <si>
    <t>Castillo-Diaz</t>
  </si>
  <si>
    <t>Murphy</t>
  </si>
  <si>
    <t>Barroso</t>
  </si>
  <si>
    <t>Montes</t>
  </si>
  <si>
    <t>Vicidomini</t>
  </si>
  <si>
    <t>Gordon</t>
  </si>
  <si>
    <t>Concepcion</t>
  </si>
  <si>
    <t>Ware</t>
  </si>
  <si>
    <t>Acosta</t>
  </si>
  <si>
    <t>Thompson</t>
  </si>
  <si>
    <t>Edmund</t>
  </si>
  <si>
    <t>Bas</t>
  </si>
  <si>
    <t>Alkhassane</t>
  </si>
  <si>
    <t>de Torres</t>
  </si>
  <si>
    <t>Larson</t>
  </si>
  <si>
    <t>Harrell</t>
  </si>
  <si>
    <t>Sandiford</t>
  </si>
  <si>
    <t>Vega-Calo</t>
  </si>
  <si>
    <t>Oliveros</t>
  </si>
  <si>
    <t>Osipov</t>
  </si>
  <si>
    <t>Barker</t>
  </si>
  <si>
    <t>Cousin</t>
  </si>
  <si>
    <t>Calderon</t>
  </si>
  <si>
    <t>Mosquera</t>
  </si>
  <si>
    <t>Vegazo</t>
  </si>
  <si>
    <t>Tiwari</t>
  </si>
  <si>
    <t>Lantigua-Franco</t>
  </si>
  <si>
    <t>Coates</t>
  </si>
  <si>
    <t>Rice</t>
  </si>
  <si>
    <t>Munday</t>
  </si>
  <si>
    <t>Konzelman</t>
  </si>
  <si>
    <t>Mena</t>
  </si>
  <si>
    <t>Mott</t>
  </si>
  <si>
    <t>Rosario</t>
  </si>
  <si>
    <t>Hassan</t>
  </si>
  <si>
    <t>Roberts</t>
  </si>
  <si>
    <t>Bayley</t>
  </si>
  <si>
    <t>Douglas</t>
  </si>
  <si>
    <t>Hinkson</t>
  </si>
  <si>
    <t>Davignou</t>
  </si>
  <si>
    <t>Vlagas</t>
  </si>
  <si>
    <t>Skerrite</t>
  </si>
  <si>
    <t>Giannatasio</t>
  </si>
  <si>
    <t>London</t>
  </si>
  <si>
    <t>Ruffin-Robinson</t>
  </si>
  <si>
    <t>Stafford</t>
  </si>
  <si>
    <t>Fortuna</t>
  </si>
  <si>
    <t>Ross</t>
  </si>
  <si>
    <t>Harvey</t>
  </si>
  <si>
    <t>Leggette</t>
  </si>
  <si>
    <t>Marquez</t>
  </si>
  <si>
    <t>Herrera</t>
  </si>
  <si>
    <t>Wesley</t>
  </si>
  <si>
    <t>Peller</t>
  </si>
  <si>
    <t>Abdallah</t>
  </si>
  <si>
    <t>De los Santos</t>
  </si>
  <si>
    <t>Bennett</t>
  </si>
  <si>
    <t>Paraison</t>
  </si>
  <si>
    <t>Mori</t>
  </si>
  <si>
    <t>Allen</t>
  </si>
  <si>
    <t>Fernandez-McCall</t>
  </si>
  <si>
    <t>Soler</t>
  </si>
  <si>
    <t>Griffin</t>
  </si>
  <si>
    <t>De Fran</t>
  </si>
  <si>
    <t>Icobelli</t>
  </si>
  <si>
    <t>Castillo</t>
  </si>
  <si>
    <t>Cole</t>
  </si>
  <si>
    <t>Ullah</t>
  </si>
  <si>
    <t>Pittman</t>
  </si>
  <si>
    <t>St. Jean</t>
  </si>
  <si>
    <t>Mitchell</t>
  </si>
  <si>
    <t>Perera</t>
  </si>
  <si>
    <t>Tate</t>
  </si>
  <si>
    <t>Hough</t>
  </si>
  <si>
    <t>Rondon</t>
  </si>
  <si>
    <t>Onwuachi</t>
  </si>
  <si>
    <t>Pimentel</t>
  </si>
  <si>
    <t>Watkins</t>
  </si>
  <si>
    <t>Basile</t>
  </si>
  <si>
    <t>Hiciano</t>
  </si>
  <si>
    <t>Fite</t>
  </si>
  <si>
    <t>Pimentel Fleury</t>
  </si>
  <si>
    <t>Duncan</t>
  </si>
  <si>
    <t>Quinones</t>
  </si>
  <si>
    <t>Brudnoy</t>
  </si>
  <si>
    <t>Soacha</t>
  </si>
  <si>
    <t>Granado</t>
  </si>
  <si>
    <t>Hammer</t>
  </si>
  <si>
    <t>Zorrilla</t>
  </si>
  <si>
    <t>Villanueva</t>
  </si>
  <si>
    <t>Wu</t>
  </si>
  <si>
    <t>Morris</t>
  </si>
  <si>
    <t>Fontanez</t>
  </si>
  <si>
    <t>Clark</t>
  </si>
  <si>
    <t>Zide</t>
  </si>
  <si>
    <t>Deeges</t>
  </si>
  <si>
    <t>Montoya</t>
  </si>
  <si>
    <t>Vanderhorst</t>
  </si>
  <si>
    <t>Adshead</t>
  </si>
  <si>
    <t>Adamson</t>
  </si>
  <si>
    <t>Crosby</t>
  </si>
  <si>
    <t>Steinberg</t>
  </si>
  <si>
    <t>McAllister</t>
  </si>
  <si>
    <t>Griffith</t>
  </si>
  <si>
    <t>Russo</t>
  </si>
  <si>
    <t>Slove</t>
  </si>
  <si>
    <t>Dominguez</t>
  </si>
  <si>
    <t>Cerio</t>
  </si>
  <si>
    <t>Harrigan</t>
  </si>
  <si>
    <t>Pardo</t>
  </si>
  <si>
    <t>Owens</t>
  </si>
  <si>
    <t>Canjura</t>
  </si>
  <si>
    <t>Salzman</t>
  </si>
  <si>
    <t>Rivera Aponte</t>
  </si>
  <si>
    <t>Bello</t>
  </si>
  <si>
    <t>Richardson</t>
  </si>
  <si>
    <t>Vergez</t>
  </si>
  <si>
    <t>Baldera</t>
  </si>
  <si>
    <t>Couvertier</t>
  </si>
  <si>
    <t>De Pasquale</t>
  </si>
  <si>
    <t>Echeverria</t>
  </si>
  <si>
    <t>Peterson</t>
  </si>
  <si>
    <t>Perry</t>
  </si>
  <si>
    <t>Sow</t>
  </si>
  <si>
    <t>Audige</t>
  </si>
  <si>
    <t>Neri</t>
  </si>
  <si>
    <t>Casiano</t>
  </si>
  <si>
    <t>Bain</t>
  </si>
  <si>
    <t>Purvis</t>
  </si>
  <si>
    <t>Tiabo</t>
  </si>
  <si>
    <t>McKay</t>
  </si>
  <si>
    <t>Bracy</t>
  </si>
  <si>
    <t>Carville</t>
  </si>
  <si>
    <t>McKinney</t>
  </si>
  <si>
    <t>1600 Sedgwick Ave</t>
  </si>
  <si>
    <t>1740 Richmond Ter</t>
  </si>
  <si>
    <t>1617 Bergen St</t>
  </si>
  <si>
    <t>642 Eldert Ln</t>
  </si>
  <si>
    <t>14725 Northern Blvd</t>
  </si>
  <si>
    <t>97-103 Seaman Avenue</t>
  </si>
  <si>
    <t>84 MacDougal St</t>
  </si>
  <si>
    <t>955 Walton Ave</t>
  </si>
  <si>
    <t>144 Jamaica Ave</t>
  </si>
  <si>
    <t>110 Henderson Ave</t>
  </si>
  <si>
    <t>536 E 96th St</t>
  </si>
  <si>
    <t>888 Grand Concourse</t>
  </si>
  <si>
    <t>980 Bergen St</t>
  </si>
  <si>
    <t>2255 Grand Concourse</t>
  </si>
  <si>
    <t>15 Sandra Ln</t>
  </si>
  <si>
    <t>1434 Ogden Ave</t>
  </si>
  <si>
    <t>60 E 196th St</t>
  </si>
  <si>
    <t>5421 Beverley Rd</t>
  </si>
  <si>
    <t>185 Park Hill Ave</t>
  </si>
  <si>
    <t>1940 Andrews Ave S</t>
  </si>
  <si>
    <t>178 Avenue D</t>
  </si>
  <si>
    <t>76 5th Ave</t>
  </si>
  <si>
    <t>1777 Grand Concourse</t>
  </si>
  <si>
    <t>91 Broad St</t>
  </si>
  <si>
    <t>3415 Parsons Blvd</t>
  </si>
  <si>
    <t>2324 Pitkin Ave</t>
  </si>
  <si>
    <t>8806 Parsons Blvd</t>
  </si>
  <si>
    <t>950 East 176th Street</t>
  </si>
  <si>
    <t>115 Ocean Ave</t>
  </si>
  <si>
    <t>715 Riverdale Ave</t>
  </si>
  <si>
    <t>1482 Montgomery Ave</t>
  </si>
  <si>
    <t>1475 Sheridan Ave</t>
  </si>
  <si>
    <t>1111 Gerard Ave</t>
  </si>
  <si>
    <t>901 Walton Ave</t>
  </si>
  <si>
    <t>460n Brielle Ave</t>
  </si>
  <si>
    <t>855 E 217th St</t>
  </si>
  <si>
    <t>542 Bainbridge St</t>
  </si>
  <si>
    <t>922 E 15th St</t>
  </si>
  <si>
    <t>214 Wakeman Pl</t>
  </si>
  <si>
    <t>64 Herkimer St</t>
  </si>
  <si>
    <t>333 Milford St</t>
  </si>
  <si>
    <t>14710 105th Ave</t>
  </si>
  <si>
    <t>376 Autumn Ave</t>
  </si>
  <si>
    <t>249 Beach 15th St</t>
  </si>
  <si>
    <t>13955 35th Ave</t>
  </si>
  <si>
    <t>721 Willoughby Ave</t>
  </si>
  <si>
    <t>93 Scribner Ave</t>
  </si>
  <si>
    <t>500 W 213th St</t>
  </si>
  <si>
    <t>241 W 36th St</t>
  </si>
  <si>
    <t>250 12th St</t>
  </si>
  <si>
    <t>240 Lott Ave</t>
  </si>
  <si>
    <t>126 Scribner Ave</t>
  </si>
  <si>
    <t>465 Elton St</t>
  </si>
  <si>
    <t>92 Fobell Street</t>
  </si>
  <si>
    <t>2102 E 15th St</t>
  </si>
  <si>
    <t>115 Stuyvesant Pl</t>
  </si>
  <si>
    <t>5057 Broadway</t>
  </si>
  <si>
    <t>139 E 110th St</t>
  </si>
  <si>
    <t>321 Edgecombe Ave</t>
  </si>
  <si>
    <t>814 Knickerbocker Ave</t>
  </si>
  <si>
    <t>2067 7th ave</t>
  </si>
  <si>
    <t>932 Belmont Ave</t>
  </si>
  <si>
    <t>13446 Maple Ave</t>
  </si>
  <si>
    <t>15817 Sanford Ave</t>
  </si>
  <si>
    <t>10008 157th Ave</t>
  </si>
  <si>
    <t>420 E 111th St</t>
  </si>
  <si>
    <t>21 W 106th St</t>
  </si>
  <si>
    <t>346 E 65th St</t>
  </si>
  <si>
    <t>1092 Willmohr st</t>
  </si>
  <si>
    <t>549 Isham Street</t>
  </si>
  <si>
    <t>1520 Hornell Loop</t>
  </si>
  <si>
    <t>11724 126th St</t>
  </si>
  <si>
    <t>71 Pilling St</t>
  </si>
  <si>
    <t>930 Ogden Ave</t>
  </si>
  <si>
    <t>127 E 107th St</t>
  </si>
  <si>
    <t>1049 Glenmore Ave</t>
  </si>
  <si>
    <t>280 Park Hill Ave</t>
  </si>
  <si>
    <t>249 Thomas S Boyland St</t>
  </si>
  <si>
    <t>459 E 96th St</t>
  </si>
  <si>
    <t>140 17th St</t>
  </si>
  <si>
    <t>5 Buchanan Pl</t>
  </si>
  <si>
    <t>1908 Belmont Ave</t>
  </si>
  <si>
    <t>1628 Lincoln Pl</t>
  </si>
  <si>
    <t>3971 Gouverneur Ave</t>
  </si>
  <si>
    <t>1626 Lexington Ave</t>
  </si>
  <si>
    <t>3852 10th Ave</t>
  </si>
  <si>
    <t>25910 Hillside Ave</t>
  </si>
  <si>
    <t>537 E 81st St</t>
  </si>
  <si>
    <t>4237 Union St</t>
  </si>
  <si>
    <t>1352 Dickens St</t>
  </si>
  <si>
    <t>1781 Riverside Dr</t>
  </si>
  <si>
    <t>899 Montgomery St</t>
  </si>
  <si>
    <t>9720 Van Wyck Expy</t>
  </si>
  <si>
    <t>664 Richmond Rd</t>
  </si>
  <si>
    <t>430 New Jersey Ave</t>
  </si>
  <si>
    <t>1160 Cromwell Ave</t>
  </si>
  <si>
    <t>1408 Brooklyn Ave</t>
  </si>
  <si>
    <t>1115 Anderson Ave</t>
  </si>
  <si>
    <t>1604 Bedford Ave</t>
  </si>
  <si>
    <t>1352 Dickens St.</t>
  </si>
  <si>
    <t>7802 4th Ave</t>
  </si>
  <si>
    <t>208 Grafton St</t>
  </si>
  <si>
    <t>25 Cumming St</t>
  </si>
  <si>
    <t>283 Linden St</t>
  </si>
  <si>
    <t>162 E 109th St</t>
  </si>
  <si>
    <t>362 amboy st</t>
  </si>
  <si>
    <t>127E 107 St</t>
  </si>
  <si>
    <t>30 3rd Ave</t>
  </si>
  <si>
    <t>620 W 190th St</t>
  </si>
  <si>
    <t>1072 Woodycrest Ave</t>
  </si>
  <si>
    <t>1625 Fulton St</t>
  </si>
  <si>
    <t>949 Ogden Ave</t>
  </si>
  <si>
    <t>2170 Atlantic Ave</t>
  </si>
  <si>
    <t>325 E 106th St</t>
  </si>
  <si>
    <t>101 Post Ave</t>
  </si>
  <si>
    <t>1212 Loring Ave</t>
  </si>
  <si>
    <t>153 Seaman Ave</t>
  </si>
  <si>
    <t>666 W 188th St</t>
  </si>
  <si>
    <t>298 Covert St</t>
  </si>
  <si>
    <t>864 Elton St</t>
  </si>
  <si>
    <t>40 Richman Plz</t>
  </si>
  <si>
    <t>112 E 103rd St</t>
  </si>
  <si>
    <t>1775 Davidson Ave</t>
  </si>
  <si>
    <t>5025 Broadway</t>
  </si>
  <si>
    <t>1849 Sedgwick Ave</t>
  </si>
  <si>
    <t>274 E 93rd St</t>
  </si>
  <si>
    <t>3713 12th Ave</t>
  </si>
  <si>
    <t>14337 38th Ave</t>
  </si>
  <si>
    <t>434 Rogers Ave</t>
  </si>
  <si>
    <t>960 Grand Concourse</t>
  </si>
  <si>
    <t>609 W 196th St</t>
  </si>
  <si>
    <t>633 E 186th St</t>
  </si>
  <si>
    <t>216 Rockaway Ave</t>
  </si>
  <si>
    <t>1935 Bergen st</t>
  </si>
  <si>
    <t>1715 Walton Ave</t>
  </si>
  <si>
    <t>2322 Loring Pl N</t>
  </si>
  <si>
    <t>110 Seaman Ave</t>
  </si>
  <si>
    <t>1935 Bergen St</t>
  </si>
  <si>
    <t>1920 Walton Ave</t>
  </si>
  <si>
    <t>1841 Univ Ave</t>
  </si>
  <si>
    <t>167 E 115th St</t>
  </si>
  <si>
    <t>1000 Anderson Ave</t>
  </si>
  <si>
    <t>2076 Creston Ave</t>
  </si>
  <si>
    <t>1240 Walton Ave</t>
  </si>
  <si>
    <t>711A Seagirt Ave</t>
  </si>
  <si>
    <t>7 Navy Pier Ct</t>
  </si>
  <si>
    <t>148 Marcus Garvey Blvd</t>
  </si>
  <si>
    <t>2164 Ellis Ave</t>
  </si>
  <si>
    <t>771 Herkimer St</t>
  </si>
  <si>
    <t>1381 E New York Ave</t>
  </si>
  <si>
    <t>4865 Broadway</t>
  </si>
  <si>
    <t>125 W Tremont Ave</t>
  </si>
  <si>
    <t>2158 Dean st</t>
  </si>
  <si>
    <t>543 Sheffield Ave</t>
  </si>
  <si>
    <t>565 W 162nd St</t>
  </si>
  <si>
    <t>97 Euclid Ave</t>
  </si>
  <si>
    <t>556 Thomas S Boyland St</t>
  </si>
  <si>
    <t>3353 82nd St</t>
  </si>
  <si>
    <t>433 Rogers Ave</t>
  </si>
  <si>
    <t>1749 Grand Concourse</t>
  </si>
  <si>
    <t>689 Halsey St</t>
  </si>
  <si>
    <t>1307 Merriam Ave</t>
  </si>
  <si>
    <t>1760 Madison Ave</t>
  </si>
  <si>
    <t>365 Thatford ave</t>
  </si>
  <si>
    <t>540 W 145th St</t>
  </si>
  <si>
    <t>580 W 215th St</t>
  </si>
  <si>
    <t>1664 Davidson Ave</t>
  </si>
  <si>
    <t>35 Norwood Ave</t>
  </si>
  <si>
    <t>25-31 Post Avenue</t>
  </si>
  <si>
    <t>1249 Clay Ave</t>
  </si>
  <si>
    <t>2601 Glenwood Rd</t>
  </si>
  <si>
    <t>546 Isham St</t>
  </si>
  <si>
    <t>14435 Roosevelt Ave</t>
  </si>
  <si>
    <t>580 Sutter Ave</t>
  </si>
  <si>
    <t>3124 Greenpoint Ave</t>
  </si>
  <si>
    <t>220 Osgood Ave</t>
  </si>
  <si>
    <t>240 W 167th St</t>
  </si>
  <si>
    <t>166 W 118th St</t>
  </si>
  <si>
    <t>55 Nagle Ave</t>
  </si>
  <si>
    <t>1800 Pitkin Ave</t>
  </si>
  <si>
    <t>4960 Broadway</t>
  </si>
  <si>
    <t>152 Marcus Garvey Blvd</t>
  </si>
  <si>
    <t>20 W 190th St</t>
  </si>
  <si>
    <t>7250 153rd St</t>
  </si>
  <si>
    <t>278 Oder Ave</t>
  </si>
  <si>
    <t>506 W 178th St</t>
  </si>
  <si>
    <t>1408 New York Ave</t>
  </si>
  <si>
    <t>472 Sutter Ave</t>
  </si>
  <si>
    <t>1175 Gerard Ave</t>
  </si>
  <si>
    <t>1416 Walton Ave</t>
  </si>
  <si>
    <t>8806 parsons blvd</t>
  </si>
  <si>
    <t>1136 44th Dr</t>
  </si>
  <si>
    <t>8929 163rd St</t>
  </si>
  <si>
    <t>2244 Morris Ave</t>
  </si>
  <si>
    <t>601 W 180th St</t>
  </si>
  <si>
    <t>437 Wyona St</t>
  </si>
  <si>
    <t>899 Montgomery st</t>
  </si>
  <si>
    <t>643 Central Ave</t>
  </si>
  <si>
    <t>175 Trantor Pl</t>
  </si>
  <si>
    <t>88 Seaman Ave</t>
  </si>
  <si>
    <t>140 Winter Ave</t>
  </si>
  <si>
    <t>132 Scribner Ave</t>
  </si>
  <si>
    <t>829 Halsey St</t>
  </si>
  <si>
    <t>350 Vanderbilt Ave</t>
  </si>
  <si>
    <t>392 Rockaway Pkwy</t>
  </si>
  <si>
    <t>2300 Kings Hwy</t>
  </si>
  <si>
    <t>10 Richman Plz</t>
  </si>
  <si>
    <t>107 Elliot Pl</t>
  </si>
  <si>
    <t>281 Pleasant Ave</t>
  </si>
  <si>
    <t>2 Elmwood Park Dr</t>
  </si>
  <si>
    <t>359 E 163rd St</t>
  </si>
  <si>
    <t>72 Villanova St</t>
  </si>
  <si>
    <t>130 Vandalia Ave</t>
  </si>
  <si>
    <t>2071 Walton Ave</t>
  </si>
  <si>
    <t>505 W 167th St</t>
  </si>
  <si>
    <t>1796 Fulton St</t>
  </si>
  <si>
    <t>177 E 101st St</t>
  </si>
  <si>
    <t>55 Winthrop St</t>
  </si>
  <si>
    <t>1970 85th St</t>
  </si>
  <si>
    <t>294 5th Ave</t>
  </si>
  <si>
    <t>348 Jersey St</t>
  </si>
  <si>
    <t>490 Williams Ave</t>
  </si>
  <si>
    <t>50 Oxford Pl</t>
  </si>
  <si>
    <t>1553 Dekalb Ave</t>
  </si>
  <si>
    <t>1015 Grand Concourse</t>
  </si>
  <si>
    <t>161 E 96th St</t>
  </si>
  <si>
    <t>147-10 41st Avene</t>
  </si>
  <si>
    <t>1774 Townsend Ave</t>
  </si>
  <si>
    <t>14 Thayer St</t>
  </si>
  <si>
    <t>5930 108th St</t>
  </si>
  <si>
    <t>116 Sherman Ave</t>
  </si>
  <si>
    <t>37 Avon Pl</t>
  </si>
  <si>
    <t>6623 Ridge Blvd</t>
  </si>
  <si>
    <t>1 W 182nd St</t>
  </si>
  <si>
    <t>524 W 134th St</t>
  </si>
  <si>
    <t>709 Fairmount Pl</t>
  </si>
  <si>
    <t>168 Sherman Ave</t>
  </si>
  <si>
    <t>925 Saratoga Ave</t>
  </si>
  <si>
    <t>1490 Dumont Ave</t>
  </si>
  <si>
    <t>61 Vermilyea Ave</t>
  </si>
  <si>
    <t>711a Seagirt Ave</t>
  </si>
  <si>
    <t>1860 Billingsley Ter</t>
  </si>
  <si>
    <t>1070 Ogden Ave</t>
  </si>
  <si>
    <t>271 Hawthorne St</t>
  </si>
  <si>
    <t>485 17th St</t>
  </si>
  <si>
    <t>40 Prospect St</t>
  </si>
  <si>
    <t>1535 Undercliff Ave</t>
  </si>
  <si>
    <t>2860 Decatur Ave</t>
  </si>
  <si>
    <t>725 Garden St</t>
  </si>
  <si>
    <t>163 E 106th St</t>
  </si>
  <si>
    <t>272 Sherman Ave</t>
  </si>
  <si>
    <t>40 Wyckoff St</t>
  </si>
  <si>
    <t>347 E 119th St</t>
  </si>
  <si>
    <t>51 Coursen Pl</t>
  </si>
  <si>
    <t>1004 Montgomery St</t>
  </si>
  <si>
    <t>1630 Macombs Rd</t>
  </si>
  <si>
    <t>748 Macdonough St</t>
  </si>
  <si>
    <t>1131 47th Rd</t>
  </si>
  <si>
    <t>2249 Webster Ave</t>
  </si>
  <si>
    <t>1212 Grand Concourse</t>
  </si>
  <si>
    <t>1207 Ogden Ave</t>
  </si>
  <si>
    <t>71 Vermilyea Ave</t>
  </si>
  <si>
    <t>353 Himrod St</t>
  </si>
  <si>
    <t>1520 Sedgwick Ave</t>
  </si>
  <si>
    <t>1115 1st Ave</t>
  </si>
  <si>
    <t>180 Broad St</t>
  </si>
  <si>
    <t>760 Eldert Ln</t>
  </si>
  <si>
    <t>1652 Univ Ave</t>
  </si>
  <si>
    <t>618 Academy St</t>
  </si>
  <si>
    <t>115 Marcy Pl</t>
  </si>
  <si>
    <t>26 Tessa Ct</t>
  </si>
  <si>
    <t>218 Broad St</t>
  </si>
  <si>
    <t>2230 Tiebout Ave</t>
  </si>
  <si>
    <t>170 Vermilyea Ave</t>
  </si>
  <si>
    <t>124 E 177th St</t>
  </si>
  <si>
    <t>1703 Woodbine St</t>
  </si>
  <si>
    <t>20214 Hollis Ave</t>
  </si>
  <si>
    <t>26 Post Ave</t>
  </si>
  <si>
    <t>535 Jackson Ave</t>
  </si>
  <si>
    <t>1820 Phelan Pl</t>
  </si>
  <si>
    <t>83 Ryerson St</t>
  </si>
  <si>
    <t>177 E 117th st</t>
  </si>
  <si>
    <t>125 Sherman Avenue</t>
  </si>
  <si>
    <t>1414 Walton Ave</t>
  </si>
  <si>
    <t>318 E 126th St</t>
  </si>
  <si>
    <t>2175 Morris Ave</t>
  </si>
  <si>
    <t>65 E Tremont Ave</t>
  </si>
  <si>
    <t>30 Richman Plz</t>
  </si>
  <si>
    <t>72 Richardson St</t>
  </si>
  <si>
    <t>145 E 126th St</t>
  </si>
  <si>
    <t>1410 New Haven Ave</t>
  </si>
  <si>
    <t>2170 Univ Ave</t>
  </si>
  <si>
    <t>1235 Morris Ave</t>
  </si>
  <si>
    <t>660 Nereid Ave</t>
  </si>
  <si>
    <t>645 Central Ave</t>
  </si>
  <si>
    <t>1170 Gerard Ave</t>
  </si>
  <si>
    <t>760 E;dert Lane</t>
  </si>
  <si>
    <t>1020 Gerard Ave</t>
  </si>
  <si>
    <t>31 Mount Hope Pl # 30</t>
  </si>
  <si>
    <t>1990 Lexington Ave</t>
  </si>
  <si>
    <t>2 Elton st</t>
  </si>
  <si>
    <t>805 adee ave</t>
  </si>
  <si>
    <t>921 Brighton 1st Rd</t>
  </si>
  <si>
    <t>50 Legion St</t>
  </si>
  <si>
    <t>2386 Ryer Ave</t>
  </si>
  <si>
    <t>2342 Atlantic Ave</t>
  </si>
  <si>
    <t>702 Rockaway Ave</t>
  </si>
  <si>
    <t>3230 93rd St</t>
  </si>
  <si>
    <t>175 Clinton Ave</t>
  </si>
  <si>
    <t>444 2nd Ave</t>
  </si>
  <si>
    <t>419 East 137th Street</t>
  </si>
  <si>
    <t>1214 Shakespeare Ave</t>
  </si>
  <si>
    <t>127 E 117th St</t>
  </si>
  <si>
    <t>1004 Montgomery st</t>
  </si>
  <si>
    <t>20 Arden St</t>
  </si>
  <si>
    <t>124 E 176th St</t>
  </si>
  <si>
    <t>10 W 182nd St</t>
  </si>
  <si>
    <t>819 Meehan Ave</t>
  </si>
  <si>
    <t>805 E New York Ave</t>
  </si>
  <si>
    <t>3507 147th St</t>
  </si>
  <si>
    <t>320 Vanderbilt Ave</t>
  </si>
  <si>
    <t>1933 Fulton St</t>
  </si>
  <si>
    <t>350 65th St</t>
  </si>
  <si>
    <t>19 Monroe St</t>
  </si>
  <si>
    <t>813 Crown St</t>
  </si>
  <si>
    <t>251 Sherman Ave</t>
  </si>
  <si>
    <t>252 E 112th St</t>
  </si>
  <si>
    <t>134 Scribner Ave</t>
  </si>
  <si>
    <t>85 Seaman Ave</t>
  </si>
  <si>
    <t>825 Morrison Ave</t>
  </si>
  <si>
    <t>14445 35th Ave</t>
  </si>
  <si>
    <t>675 E 140th St</t>
  </si>
  <si>
    <t>3940 60th St</t>
  </si>
  <si>
    <t>15 Featherbed Ln</t>
  </si>
  <si>
    <t>121 Sherman Ave</t>
  </si>
  <si>
    <t>274a 9th St</t>
  </si>
  <si>
    <t>37 Granite St</t>
  </si>
  <si>
    <t>382 Burgher Ave</t>
  </si>
  <si>
    <t>1311 Merriam Ave</t>
  </si>
  <si>
    <t>900 Ogden Ave</t>
  </si>
  <si>
    <t>90 Downing St</t>
  </si>
  <si>
    <t>191 Orchard St</t>
  </si>
  <si>
    <t>1189 Tinton Ave</t>
  </si>
  <si>
    <t>1315 Eastern Pkwy</t>
  </si>
  <si>
    <t>117 Sherman Ave</t>
  </si>
  <si>
    <t>1014 Gerard Ave</t>
  </si>
  <si>
    <t>7 Hegeman Ave</t>
  </si>
  <si>
    <t>524 E 119th St</t>
  </si>
  <si>
    <t>165 Saint Marks Pl</t>
  </si>
  <si>
    <t>825 Boynton Ave</t>
  </si>
  <si>
    <t>662 Decatur St</t>
  </si>
  <si>
    <t>74 W 165th St</t>
  </si>
  <si>
    <t>114 Townsend Ave</t>
  </si>
  <si>
    <t>990 Anderson Ave</t>
  </si>
  <si>
    <t>180 Park Hill Ave</t>
  </si>
  <si>
    <t>465 Elton st</t>
  </si>
  <si>
    <t>344 Marion st</t>
  </si>
  <si>
    <t>820 Colgate Ave</t>
  </si>
  <si>
    <t>1515 Grand Concourse</t>
  </si>
  <si>
    <t>855 E 19th St</t>
  </si>
  <si>
    <t>1047 Nelson Ave</t>
  </si>
  <si>
    <t>14432 35th Ave</t>
  </si>
  <si>
    <t>20 Richman Plz</t>
  </si>
  <si>
    <t>5205 5th ave</t>
  </si>
  <si>
    <t>3115 Sedgwick Ave</t>
  </si>
  <si>
    <t>1940 Andrews Ave</t>
  </si>
  <si>
    <t>215 E 164th St</t>
  </si>
  <si>
    <t>179 Riverdale Ave</t>
  </si>
  <si>
    <t>4 E 107th St</t>
  </si>
  <si>
    <t>10 Kimberly Ln</t>
  </si>
  <si>
    <t>20 sherman Ave</t>
  </si>
  <si>
    <t>103 Vermilyea Ave</t>
  </si>
  <si>
    <t>285 E 91st St</t>
  </si>
  <si>
    <t>31 Park Ter W</t>
  </si>
  <si>
    <t>125 Beach 19th St</t>
  </si>
  <si>
    <t>209 E 118th St</t>
  </si>
  <si>
    <t>6361 Yellowstone Blvd</t>
  </si>
  <si>
    <t>124 E 117th St</t>
  </si>
  <si>
    <t>521 W 185th St</t>
  </si>
  <si>
    <t>1128 Brunswick Ave</t>
  </si>
  <si>
    <t>20 Sherman Ave</t>
  </si>
  <si>
    <t>1315 Merriam Ave</t>
  </si>
  <si>
    <t>1331 Bay St</t>
  </si>
  <si>
    <t>600 W 204th St</t>
  </si>
  <si>
    <t>1870 Crotona Ave</t>
  </si>
  <si>
    <t>115 E Mosholu Pkwy N</t>
  </si>
  <si>
    <t>517 W 212th St</t>
  </si>
  <si>
    <t>3502 Kings Hwy</t>
  </si>
  <si>
    <t>151 Daniel Low Ter</t>
  </si>
  <si>
    <t>231 Sherman Ave</t>
  </si>
  <si>
    <t>2029 Shore Blvd</t>
  </si>
  <si>
    <t>1869 Eastern Pkwy</t>
  </si>
  <si>
    <t>333 Beach 32nd St</t>
  </si>
  <si>
    <t>424 W 110th St</t>
  </si>
  <si>
    <t>1175 Findlay Ave</t>
  </si>
  <si>
    <t>35 Winthrop St</t>
  </si>
  <si>
    <t>603 Academy St</t>
  </si>
  <si>
    <t>2855 Claflin Ave</t>
  </si>
  <si>
    <t>134-25 Franklin Ave</t>
  </si>
  <si>
    <t>127 W 141st St</t>
  </si>
  <si>
    <t>168 E 108th St</t>
  </si>
  <si>
    <t>57 Laurel Ave</t>
  </si>
  <si>
    <t>470 2nd Ave</t>
  </si>
  <si>
    <t>115 Hamilton Pl</t>
  </si>
  <si>
    <t>97 Macon St</t>
  </si>
  <si>
    <t>22 Post Ave</t>
  </si>
  <si>
    <t>1325 Eastern Pkwy</t>
  </si>
  <si>
    <t>169 Washington Park</t>
  </si>
  <si>
    <t>1 Saint Pauls Ct</t>
  </si>
  <si>
    <t>508 W 180th St</t>
  </si>
  <si>
    <t>100 Cooper St</t>
  </si>
  <si>
    <t>4513 10th Ave</t>
  </si>
  <si>
    <t>502 W 213th St</t>
  </si>
  <si>
    <t>2695 Briggs Ave</t>
  </si>
  <si>
    <t>987 Grant Ave</t>
  </si>
  <si>
    <t>69 W Burnside Ave</t>
  </si>
  <si>
    <t>107 Post Ave</t>
  </si>
  <si>
    <t>336 E 117th St</t>
  </si>
  <si>
    <t>161 W 9th St</t>
  </si>
  <si>
    <t>1505 Saint Marks Ave</t>
  </si>
  <si>
    <t>57-63 Wadsworth Terrace</t>
  </si>
  <si>
    <t>8938 91st St</t>
  </si>
  <si>
    <t>73 Vermilyea Ave</t>
  </si>
  <si>
    <t>1485 Macombs Rd</t>
  </si>
  <si>
    <t>3517 146th St</t>
  </si>
  <si>
    <t>22 E 119th St</t>
  </si>
  <si>
    <t>2151 Morris Ave</t>
  </si>
  <si>
    <t>262 Saint James Pl</t>
  </si>
  <si>
    <t>1605 Walton Ave</t>
  </si>
  <si>
    <t>921 Saint Marks Ave</t>
  </si>
  <si>
    <t>150 Nevins St</t>
  </si>
  <si>
    <t>5008 Broadway</t>
  </si>
  <si>
    <t>841 Halsey St</t>
  </si>
  <si>
    <t>25 Saint Felix St</t>
  </si>
  <si>
    <t>11 Saint Felix St</t>
  </si>
  <si>
    <t>1952 2nd ave</t>
  </si>
  <si>
    <t>1970 Walton Ave</t>
  </si>
  <si>
    <t>2028 Cross Bronx Expy</t>
  </si>
  <si>
    <t>184 Mount Eden Pkwy</t>
  </si>
  <si>
    <t>231 E 117th St</t>
  </si>
  <si>
    <t>228 Nagle Ave</t>
  </si>
  <si>
    <t>1146 President St</t>
  </si>
  <si>
    <t>1154 Stratford Ave</t>
  </si>
  <si>
    <t>601 W 190th St</t>
  </si>
  <si>
    <t>175 E 105th St</t>
  </si>
  <si>
    <t>2800 University Ave</t>
  </si>
  <si>
    <t>90 Park Ave</t>
  </si>
  <si>
    <t>73-83 Vermilyea Avenue</t>
  </si>
  <si>
    <t>590 W 204th St</t>
  </si>
  <si>
    <t>198 Clarkson Ave</t>
  </si>
  <si>
    <t>9 Sherman Ave</t>
  </si>
  <si>
    <t>159-04 Sanford Avemue</t>
  </si>
  <si>
    <t>7212 4th Ave</t>
  </si>
  <si>
    <t>237 E 115th St</t>
  </si>
  <si>
    <t>656 W 204th St</t>
  </si>
  <si>
    <t>9502 Kings Hwy</t>
  </si>
  <si>
    <t>644 W 185th St</t>
  </si>
  <si>
    <t>532 W 145th St</t>
  </si>
  <si>
    <t>185 Saint Marks Pl</t>
  </si>
  <si>
    <t>128 Fort Washington Ave</t>
  </si>
  <si>
    <t>1495 Grand Concourse</t>
  </si>
  <si>
    <t>350 Bergen St</t>
  </si>
  <si>
    <t>1171 Morrison Avenue</t>
  </si>
  <si>
    <t>160 Vermilyea Ave</t>
  </si>
  <si>
    <t>880 Boynton Ave</t>
  </si>
  <si>
    <t>1534 Nelson Ave</t>
  </si>
  <si>
    <t>117 S 4th St</t>
  </si>
  <si>
    <t>1580 Thieriot Ave</t>
  </si>
  <si>
    <t>45 Victory Blvd</t>
  </si>
  <si>
    <t>46-10 Crane St</t>
  </si>
  <si>
    <t>4278 3rd Ave</t>
  </si>
  <si>
    <t>986 Rutland Rd</t>
  </si>
  <si>
    <t>92 E 53rd St</t>
  </si>
  <si>
    <t>9132 114th St</t>
  </si>
  <si>
    <t>639 Eastern Pkwy</t>
  </si>
  <si>
    <t>570 W 204th St</t>
  </si>
  <si>
    <t>979 42nd St</t>
  </si>
  <si>
    <t>8815 168th St</t>
  </si>
  <si>
    <t>1795 Riverside Dr</t>
  </si>
  <si>
    <t>1696 Vyse Ave</t>
  </si>
  <si>
    <t>240 Howard Ave</t>
  </si>
  <si>
    <t>21 E 127th St</t>
  </si>
  <si>
    <t>127 miller ave</t>
  </si>
  <si>
    <t>482 Ridgewood Ave</t>
  </si>
  <si>
    <t>345 Bedford Ave</t>
  </si>
  <si>
    <t>2160 Matthews Ave</t>
  </si>
  <si>
    <t>109 Sherman Ave</t>
  </si>
  <si>
    <t>330 Macdougal St</t>
  </si>
  <si>
    <t>10335 41st Ave</t>
  </si>
  <si>
    <t>2567 Decatur Ave</t>
  </si>
  <si>
    <t>9-15 Post Avenue</t>
  </si>
  <si>
    <t>571 W 139th St</t>
  </si>
  <si>
    <t>3405 Neptune Ave</t>
  </si>
  <si>
    <t>156 E 178th St</t>
  </si>
  <si>
    <t>125 Schroeders Ave</t>
  </si>
  <si>
    <t>9036 149th St</t>
  </si>
  <si>
    <t>319 Beach 98th St</t>
  </si>
  <si>
    <t>1030 Carroll St</t>
  </si>
  <si>
    <t>212 Sherman Ave</t>
  </si>
  <si>
    <t>365 East 184th</t>
  </si>
  <si>
    <t>3343 Union St</t>
  </si>
  <si>
    <t>13 E 9th St</t>
  </si>
  <si>
    <t>319 3rd St</t>
  </si>
  <si>
    <t>193 Chestnut St</t>
  </si>
  <si>
    <t>2929 Beach Channel Dr</t>
  </si>
  <si>
    <t>105 E Clarke Pl</t>
  </si>
  <si>
    <t>36 Ellwood St</t>
  </si>
  <si>
    <t>14715 Northern Blvd</t>
  </si>
  <si>
    <t>2010 Newkirk Ave</t>
  </si>
  <si>
    <t>120 Beach 19th St</t>
  </si>
  <si>
    <t>140 Henry St</t>
  </si>
  <si>
    <t>163 E 115th St</t>
  </si>
  <si>
    <t>55 cooper st</t>
  </si>
  <si>
    <t>127 Miller Ave</t>
  </si>
  <si>
    <t>875 Boynton Ave</t>
  </si>
  <si>
    <t>1990 lexington ave</t>
  </si>
  <si>
    <t>102 W 183rd St</t>
  </si>
  <si>
    <t>1365 Saint Nicholas Ave</t>
  </si>
  <si>
    <t>38 Post Ave</t>
  </si>
  <si>
    <t>3227 Bainbridge Ave</t>
  </si>
  <si>
    <t>63 Post Ave</t>
  </si>
  <si>
    <t>357 E 193rd St</t>
  </si>
  <si>
    <t>253 57th St</t>
  </si>
  <si>
    <t>832 Linden Blvd</t>
  </si>
  <si>
    <t>2264 Grand Ave</t>
  </si>
  <si>
    <t>405 E 16th St</t>
  </si>
  <si>
    <t>2411 2nd Ave</t>
  </si>
  <si>
    <t>611 E 76th St</t>
  </si>
  <si>
    <t>428 Ashford St</t>
  </si>
  <si>
    <t>780 Concourse Vlg W</t>
  </si>
  <si>
    <t>234 8th St</t>
  </si>
  <si>
    <t>19401 A 64th Cir</t>
  </si>
  <si>
    <t>3354 83rd St</t>
  </si>
  <si>
    <t>212 Beach 29th St</t>
  </si>
  <si>
    <t>152 Sherman Ave</t>
  </si>
  <si>
    <t>16834 127th Ave</t>
  </si>
  <si>
    <t>2320 Aqueduct Ave</t>
  </si>
  <si>
    <t>221 Seaman Ave</t>
  </si>
  <si>
    <t>221 Sherman Ave</t>
  </si>
  <si>
    <t>1553 Lexington Ave</t>
  </si>
  <si>
    <t>1715 Nelson Ave</t>
  </si>
  <si>
    <t>2021 Seagirt Blvd</t>
  </si>
  <si>
    <t>516 Van Siclen Ave</t>
  </si>
  <si>
    <t>444 E 82nd St</t>
  </si>
  <si>
    <t>100 E 118th St</t>
  </si>
  <si>
    <t>1871 Sedgwick Ave</t>
  </si>
  <si>
    <t>14745 Barclay Ave</t>
  </si>
  <si>
    <t>339 E 118th St</t>
  </si>
  <si>
    <t>37 Avon pl</t>
  </si>
  <si>
    <t>530 E 137th st</t>
  </si>
  <si>
    <t>179 Milford st</t>
  </si>
  <si>
    <t>506 W 170th St</t>
  </si>
  <si>
    <t>440 E 137th St</t>
  </si>
  <si>
    <t>350 Sheffield Ave</t>
  </si>
  <si>
    <t>80 E 93rd St</t>
  </si>
  <si>
    <t>3406 45th St</t>
  </si>
  <si>
    <t>8806 Pasons Blvd</t>
  </si>
  <si>
    <t>119 Ellwood St</t>
  </si>
  <si>
    <t>2935 Ocean Pkwy</t>
  </si>
  <si>
    <t>245 Lenox Rd</t>
  </si>
  <si>
    <t>1940 Pacific st</t>
  </si>
  <si>
    <t>711D Seagrit Avenue</t>
  </si>
  <si>
    <t>1711 Davidson Ave</t>
  </si>
  <si>
    <t>34-15 Parsons Blvd</t>
  </si>
  <si>
    <t>1490 Hornell Loop</t>
  </si>
  <si>
    <t>444 Euclid Ave</t>
  </si>
  <si>
    <t>1038 47th Rd</t>
  </si>
  <si>
    <t>880 Colgate Ave</t>
  </si>
  <si>
    <t>34 Post Ave</t>
  </si>
  <si>
    <t>1092 President St</t>
  </si>
  <si>
    <t>1295 5th Ave</t>
  </si>
  <si>
    <t>1302 Pacific St</t>
  </si>
  <si>
    <t>1090 Saint Nicholas Ave</t>
  </si>
  <si>
    <t>645 Ocean Ave</t>
  </si>
  <si>
    <t>141 Park Hill Ave</t>
  </si>
  <si>
    <t>656 Howard Ave</t>
  </si>
  <si>
    <t>88-06 Parsons Boulevard</t>
  </si>
  <si>
    <t>22 E 104th St</t>
  </si>
  <si>
    <t>413 Westervelt Ave</t>
  </si>
  <si>
    <t>115 E 115th St</t>
  </si>
  <si>
    <t>607 New Jersey Ave</t>
  </si>
  <si>
    <t>1890 sTILLWELL aVE</t>
  </si>
  <si>
    <t>1457 Ogden Ave</t>
  </si>
  <si>
    <t>716 Penfield St</t>
  </si>
  <si>
    <t>620 49th St</t>
  </si>
  <si>
    <t>818 Macon St</t>
  </si>
  <si>
    <t>12 E 116th St</t>
  </si>
  <si>
    <t>995 E 173rd St</t>
  </si>
  <si>
    <t>1447 E 7th St</t>
  </si>
  <si>
    <t>175 Ardsley Loop</t>
  </si>
  <si>
    <t>101 Sherman Ave</t>
  </si>
  <si>
    <t>1706 Davidson Ave</t>
  </si>
  <si>
    <t>425 W 205th St</t>
  </si>
  <si>
    <t>205 E 124th St</t>
  </si>
  <si>
    <t>221 E 122nd St</t>
  </si>
  <si>
    <t>122 E 102nd St</t>
  </si>
  <si>
    <t>506 Jackson Ave</t>
  </si>
  <si>
    <t>595 W 207th St</t>
  </si>
  <si>
    <t>132 Seaman Ave</t>
  </si>
  <si>
    <t>204 Sherman Ave</t>
  </si>
  <si>
    <t>215 W 101st St</t>
  </si>
  <si>
    <t>5009 Broadway</t>
  </si>
  <si>
    <t>1477 Townsend Ave</t>
  </si>
  <si>
    <t>399 Kosciuszko St</t>
  </si>
  <si>
    <t>1118 Intervale Ave</t>
  </si>
  <si>
    <t>120 Alcott Pl</t>
  </si>
  <si>
    <t>2195 Grand Concourse</t>
  </si>
  <si>
    <t>21 E 107th st</t>
  </si>
  <si>
    <t>231 Steuben St</t>
  </si>
  <si>
    <t>423 E 115th St</t>
  </si>
  <si>
    <t>315 Pulaski St</t>
  </si>
  <si>
    <t>57 Wadsworth Ter # 63</t>
  </si>
  <si>
    <t>189 Sherman Ave</t>
  </si>
  <si>
    <t>209 Broad St</t>
  </si>
  <si>
    <t>60 E 177th St</t>
  </si>
  <si>
    <t>165 Nagle Ave</t>
  </si>
  <si>
    <t>3278 35th St</t>
  </si>
  <si>
    <t>577 Isham St</t>
  </si>
  <si>
    <t>650 W 177th St</t>
  </si>
  <si>
    <t>1515 Macombs Rd</t>
  </si>
  <si>
    <t>2525 Beverley Rd</t>
  </si>
  <si>
    <t>2026 Nostrand Ave</t>
  </si>
  <si>
    <t>2078 2nd Ave</t>
  </si>
  <si>
    <t>69 Pinehurst Ave</t>
  </si>
  <si>
    <t>1920 Osbourne Pl</t>
  </si>
  <si>
    <t>660 E 98th St</t>
  </si>
  <si>
    <t>67 Manhattan Ave</t>
  </si>
  <si>
    <t>65 E Gun Hill Rd</t>
  </si>
  <si>
    <t>1629 Lexington Ave</t>
  </si>
  <si>
    <t>351 Legion St</t>
  </si>
  <si>
    <t>477 Gates Ave</t>
  </si>
  <si>
    <t>566 Vanderbilt Ave</t>
  </si>
  <si>
    <t>9411 Shore Rd</t>
  </si>
  <si>
    <t>667 Brooklyn Ave</t>
  </si>
  <si>
    <t>444 Avenue X</t>
  </si>
  <si>
    <t>1049 Montgomery St</t>
  </si>
  <si>
    <t>101 Daniel Low Ter</t>
  </si>
  <si>
    <t>23 Fairway Ave</t>
  </si>
  <si>
    <t>2212 Ditmas Ave</t>
  </si>
  <si>
    <t>3620 Bowne St</t>
  </si>
  <si>
    <t>119 E 102nd St</t>
  </si>
  <si>
    <t>482 Fort Washington Ave</t>
  </si>
  <si>
    <t>2065 Morris Ave</t>
  </si>
  <si>
    <t>2944 Beach Channel Dr</t>
  </si>
  <si>
    <t>211 Marion St</t>
  </si>
  <si>
    <t>255 Pennsylvania Ave</t>
  </si>
  <si>
    <t>790 Eldert Ln</t>
  </si>
  <si>
    <t>10-38 47th Raod</t>
  </si>
  <si>
    <t>731 Gerard Ave</t>
  </si>
  <si>
    <t>210 W 262nd St</t>
  </si>
  <si>
    <t>14018 Ash Ave</t>
  </si>
  <si>
    <t>Bronx</t>
  </si>
  <si>
    <t>Staten Island</t>
  </si>
  <si>
    <t>Brooklyn</t>
  </si>
  <si>
    <t>Flushing</t>
  </si>
  <si>
    <t>New York</t>
  </si>
  <si>
    <t>Jamaica</t>
  </si>
  <si>
    <t>Far Rockaway</t>
  </si>
  <si>
    <t>Howard Beach</t>
  </si>
  <si>
    <t>S Ozone Park</t>
  </si>
  <si>
    <t>Glen Oaks</t>
  </si>
  <si>
    <t>S Richmond Hl</t>
  </si>
  <si>
    <t>brooklyn</t>
  </si>
  <si>
    <t>Jackson Hts</t>
  </si>
  <si>
    <t>Long Is City</t>
  </si>
  <si>
    <t>Corona</t>
  </si>
  <si>
    <t>Ridgewood</t>
  </si>
  <si>
    <t>Saint Albans</t>
  </si>
  <si>
    <t>East Elmhurst</t>
  </si>
  <si>
    <t>Woodside</t>
  </si>
  <si>
    <t>Forest Hills</t>
  </si>
  <si>
    <t>Astoria</t>
  </si>
  <si>
    <t>Woodhaven</t>
  </si>
  <si>
    <t>Long Island City</t>
  </si>
  <si>
    <t>Richmond Hill</t>
  </si>
  <si>
    <t>Rockaway Park</t>
  </si>
  <si>
    <t>Fresh Meadows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</si>
</sst>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73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HYPERLINK("https://lsnyc.legalserver.org/matter/dynamic-profile/view/1848589","17-1848589")</f>
        <v>0</v>
      </c>
      <c r="B2" t="s">
        <v>13</v>
      </c>
      <c r="C2" t="s">
        <v>15</v>
      </c>
      <c r="D2" t="s">
        <v>714</v>
      </c>
      <c r="E2" t="s">
        <v>1438</v>
      </c>
      <c r="F2" t="s">
        <v>2089</v>
      </c>
      <c r="G2">
        <v>10453</v>
      </c>
      <c r="K2">
        <v>1</v>
      </c>
      <c r="L2">
        <v>0</v>
      </c>
      <c r="M2">
        <v>0</v>
      </c>
    </row>
    <row r="3" spans="1:13">
      <c r="A3" s="1">
        <f>HYPERLINK("https://lsnyc.legalserver.org/matter/dynamic-profile/view/1836258","17-1836258")</f>
        <v>0</v>
      </c>
      <c r="B3" t="s">
        <v>13</v>
      </c>
      <c r="C3" t="s">
        <v>16</v>
      </c>
      <c r="D3" t="s">
        <v>710</v>
      </c>
      <c r="E3" t="s">
        <v>1439</v>
      </c>
      <c r="F3" t="s">
        <v>2090</v>
      </c>
      <c r="G3">
        <v>10310</v>
      </c>
      <c r="K3">
        <v>1</v>
      </c>
      <c r="L3">
        <v>0</v>
      </c>
      <c r="M3">
        <v>0</v>
      </c>
    </row>
    <row r="4" spans="1:13">
      <c r="A4" s="1">
        <f>HYPERLINK("https://lsnyc.legalserver.org/matter/dynamic-profile/view/0820938","16-0820938")</f>
        <v>0</v>
      </c>
      <c r="B4" t="s">
        <v>13</v>
      </c>
      <c r="C4" t="s">
        <v>17</v>
      </c>
      <c r="D4" t="s">
        <v>715</v>
      </c>
      <c r="E4" t="s">
        <v>1440</v>
      </c>
      <c r="F4" t="s">
        <v>2091</v>
      </c>
      <c r="G4">
        <v>11213</v>
      </c>
      <c r="K4">
        <v>1</v>
      </c>
      <c r="L4">
        <v>0</v>
      </c>
      <c r="M4">
        <v>0</v>
      </c>
    </row>
    <row r="5" spans="1:13">
      <c r="A5" s="1">
        <f>HYPERLINK("https://lsnyc.legalserver.org/matter/dynamic-profile/view/1856591","18-1856591")</f>
        <v>0</v>
      </c>
      <c r="B5" t="s">
        <v>13</v>
      </c>
      <c r="C5" t="s">
        <v>18</v>
      </c>
      <c r="D5" t="s">
        <v>716</v>
      </c>
      <c r="E5" t="s">
        <v>1441</v>
      </c>
      <c r="F5" t="s">
        <v>2091</v>
      </c>
      <c r="G5">
        <v>11208</v>
      </c>
      <c r="K5">
        <v>1</v>
      </c>
      <c r="L5">
        <v>0</v>
      </c>
      <c r="M5">
        <v>0</v>
      </c>
    </row>
    <row r="6" spans="1:13">
      <c r="A6" s="1">
        <f>HYPERLINK("https://lsnyc.legalserver.org/matter/dynamic-profile/view/1860378","18-1860378")</f>
        <v>0</v>
      </c>
      <c r="B6" t="s">
        <v>13</v>
      </c>
      <c r="C6" t="s">
        <v>19</v>
      </c>
      <c r="D6" t="s">
        <v>717</v>
      </c>
      <c r="E6" t="s">
        <v>1442</v>
      </c>
      <c r="F6" t="s">
        <v>2092</v>
      </c>
      <c r="G6">
        <v>11354</v>
      </c>
      <c r="K6">
        <v>1</v>
      </c>
      <c r="L6">
        <v>0</v>
      </c>
      <c r="M6">
        <v>0</v>
      </c>
    </row>
    <row r="7" spans="1:13">
      <c r="A7" s="1">
        <f>HYPERLINK("https://lsnyc.legalserver.org/matter/dynamic-profile/view/1860845","18-1860845")</f>
        <v>0</v>
      </c>
      <c r="B7" t="s">
        <v>13</v>
      </c>
      <c r="C7" t="s">
        <v>20</v>
      </c>
      <c r="D7" t="s">
        <v>718</v>
      </c>
      <c r="E7" t="s">
        <v>1443</v>
      </c>
      <c r="F7" t="s">
        <v>2093</v>
      </c>
      <c r="G7">
        <v>10034</v>
      </c>
      <c r="K7">
        <v>1</v>
      </c>
      <c r="L7">
        <v>0</v>
      </c>
      <c r="M7">
        <v>0</v>
      </c>
    </row>
    <row r="8" spans="1:13">
      <c r="A8" s="1">
        <f>HYPERLINK("https://lsnyc.legalserver.org/matter/dynamic-profile/view/1859181","18-1859181")</f>
        <v>0</v>
      </c>
      <c r="B8" t="s">
        <v>13</v>
      </c>
      <c r="C8" t="s">
        <v>21</v>
      </c>
      <c r="D8" t="s">
        <v>719</v>
      </c>
      <c r="E8" t="s">
        <v>1444</v>
      </c>
      <c r="F8" t="s">
        <v>2091</v>
      </c>
      <c r="G8">
        <v>11233</v>
      </c>
      <c r="K8">
        <v>1</v>
      </c>
      <c r="L8">
        <v>0</v>
      </c>
      <c r="M8">
        <v>0</v>
      </c>
    </row>
    <row r="9" spans="1:13">
      <c r="A9" s="1">
        <f>HYPERLINK("https://lsnyc.legalserver.org/matter/dynamic-profile/view/1855692","18-1855692")</f>
        <v>0</v>
      </c>
      <c r="B9" t="s">
        <v>13</v>
      </c>
      <c r="C9" t="s">
        <v>22</v>
      </c>
      <c r="D9" t="s">
        <v>720</v>
      </c>
      <c r="E9" t="s">
        <v>1445</v>
      </c>
      <c r="F9" t="s">
        <v>2089</v>
      </c>
      <c r="G9">
        <v>10452</v>
      </c>
      <c r="K9">
        <v>1</v>
      </c>
      <c r="L9">
        <v>0</v>
      </c>
      <c r="M9">
        <v>0</v>
      </c>
    </row>
    <row r="10" spans="1:13">
      <c r="A10" s="1">
        <f>HYPERLINK("https://lsnyc.legalserver.org/matter/dynamic-profile/view/1857929","18-1857929")</f>
        <v>0</v>
      </c>
      <c r="B10" t="s">
        <v>13</v>
      </c>
      <c r="C10" t="s">
        <v>23</v>
      </c>
      <c r="D10" t="s">
        <v>721</v>
      </c>
      <c r="E10" t="s">
        <v>1446</v>
      </c>
      <c r="F10" t="s">
        <v>2091</v>
      </c>
      <c r="G10">
        <v>11207</v>
      </c>
      <c r="K10">
        <v>1</v>
      </c>
      <c r="L10">
        <v>0</v>
      </c>
      <c r="M10">
        <v>0</v>
      </c>
    </row>
    <row r="11" spans="1:13">
      <c r="A11" s="1">
        <f>HYPERLINK("https://lsnyc.legalserver.org/matter/dynamic-profile/view/1866137","18-1866137")</f>
        <v>0</v>
      </c>
      <c r="B11" t="s">
        <v>13</v>
      </c>
      <c r="C11" t="s">
        <v>24</v>
      </c>
      <c r="D11" t="s">
        <v>722</v>
      </c>
      <c r="E11" t="s">
        <v>1447</v>
      </c>
      <c r="F11" t="s">
        <v>2090</v>
      </c>
      <c r="G11">
        <v>10301</v>
      </c>
      <c r="K11">
        <v>1</v>
      </c>
      <c r="L11">
        <v>0</v>
      </c>
      <c r="M11">
        <v>0</v>
      </c>
    </row>
    <row r="12" spans="1:13">
      <c r="A12" s="1">
        <f>HYPERLINK("https://lsnyc.legalserver.org/matter/dynamic-profile/view/1871319","18-1871319")</f>
        <v>0</v>
      </c>
      <c r="B12" t="s">
        <v>13</v>
      </c>
      <c r="C12" t="s">
        <v>25</v>
      </c>
      <c r="D12" t="s">
        <v>723</v>
      </c>
      <c r="E12" t="s">
        <v>1448</v>
      </c>
      <c r="F12" t="s">
        <v>2091</v>
      </c>
      <c r="G12">
        <v>11212</v>
      </c>
      <c r="K12">
        <v>1</v>
      </c>
      <c r="L12">
        <v>0</v>
      </c>
      <c r="M12">
        <v>0</v>
      </c>
    </row>
    <row r="13" spans="1:13">
      <c r="A13" s="1">
        <f>HYPERLINK("https://lsnyc.legalserver.org/matter/dynamic-profile/view/0798197","16-0798197")</f>
        <v>0</v>
      </c>
      <c r="B13" t="s">
        <v>13</v>
      </c>
      <c r="C13" t="s">
        <v>26</v>
      </c>
      <c r="D13" t="s">
        <v>724</v>
      </c>
      <c r="E13" t="s">
        <v>1449</v>
      </c>
      <c r="F13" t="s">
        <v>2089</v>
      </c>
      <c r="G13">
        <v>10451</v>
      </c>
      <c r="K13">
        <v>1</v>
      </c>
      <c r="L13">
        <v>0</v>
      </c>
      <c r="M13">
        <v>0</v>
      </c>
    </row>
    <row r="14" spans="1:13">
      <c r="A14" s="1">
        <f>HYPERLINK("https://lsnyc.legalserver.org/matter/dynamic-profile/view/0798120","16-0798120")</f>
        <v>0</v>
      </c>
      <c r="B14" t="s">
        <v>13</v>
      </c>
      <c r="C14" t="s">
        <v>27</v>
      </c>
      <c r="D14" t="s">
        <v>725</v>
      </c>
      <c r="E14" t="s">
        <v>1449</v>
      </c>
      <c r="F14" t="s">
        <v>2089</v>
      </c>
      <c r="G14">
        <v>10451</v>
      </c>
      <c r="K14">
        <v>1</v>
      </c>
      <c r="L14">
        <v>0</v>
      </c>
      <c r="M14">
        <v>0</v>
      </c>
    </row>
    <row r="15" spans="1:13">
      <c r="A15" s="1">
        <f>HYPERLINK("https://lsnyc.legalserver.org/matter/dynamic-profile/view/0798605","16-0798605")</f>
        <v>0</v>
      </c>
      <c r="B15" t="s">
        <v>13</v>
      </c>
      <c r="C15" t="s">
        <v>28</v>
      </c>
      <c r="D15" t="s">
        <v>726</v>
      </c>
      <c r="E15" t="s">
        <v>1450</v>
      </c>
      <c r="F15" t="s">
        <v>2091</v>
      </c>
      <c r="G15">
        <v>11216</v>
      </c>
      <c r="K15">
        <v>1</v>
      </c>
      <c r="L15">
        <v>0</v>
      </c>
      <c r="M15">
        <v>0</v>
      </c>
    </row>
    <row r="16" spans="1:13">
      <c r="A16" s="1">
        <f>HYPERLINK("https://lsnyc.legalserver.org/matter/dynamic-profile/view/0811882","16-0811882")</f>
        <v>0</v>
      </c>
      <c r="B16" t="s">
        <v>13</v>
      </c>
      <c r="C16" t="s">
        <v>29</v>
      </c>
      <c r="D16" t="s">
        <v>727</v>
      </c>
      <c r="E16" t="s">
        <v>1451</v>
      </c>
      <c r="F16" t="s">
        <v>2089</v>
      </c>
      <c r="G16">
        <v>10453</v>
      </c>
      <c r="K16">
        <v>1</v>
      </c>
      <c r="L16">
        <v>0</v>
      </c>
      <c r="M16">
        <v>0</v>
      </c>
    </row>
    <row r="17" spans="1:13">
      <c r="A17" s="1">
        <f>HYPERLINK("https://lsnyc.legalserver.org/matter/dynamic-profile/view/1844342","17-1844342")</f>
        <v>0</v>
      </c>
      <c r="B17" t="s">
        <v>13</v>
      </c>
      <c r="C17" t="s">
        <v>30</v>
      </c>
      <c r="D17" t="s">
        <v>728</v>
      </c>
      <c r="E17" t="s">
        <v>1452</v>
      </c>
      <c r="F17" t="s">
        <v>2090</v>
      </c>
      <c r="G17">
        <v>10304</v>
      </c>
      <c r="K17">
        <v>2</v>
      </c>
      <c r="L17">
        <v>0</v>
      </c>
      <c r="M17">
        <v>0</v>
      </c>
    </row>
    <row r="18" spans="1:13">
      <c r="A18" s="1">
        <f>HYPERLINK("https://lsnyc.legalserver.org/matter/dynamic-profile/view/0817990","16-0817990")</f>
        <v>0</v>
      </c>
      <c r="B18" t="s">
        <v>13</v>
      </c>
      <c r="C18" t="s">
        <v>18</v>
      </c>
      <c r="D18" t="s">
        <v>729</v>
      </c>
      <c r="E18" t="s">
        <v>1453</v>
      </c>
      <c r="F18" t="s">
        <v>2089</v>
      </c>
      <c r="G18">
        <v>10452</v>
      </c>
      <c r="K18">
        <v>1</v>
      </c>
      <c r="L18">
        <v>0</v>
      </c>
      <c r="M18">
        <v>0</v>
      </c>
    </row>
    <row r="19" spans="1:13">
      <c r="A19" s="1">
        <f>HYPERLINK("https://lsnyc.legalserver.org/matter/dynamic-profile/view/1851821","17-1851821")</f>
        <v>0</v>
      </c>
      <c r="B19" t="s">
        <v>13</v>
      </c>
      <c r="C19" t="s">
        <v>31</v>
      </c>
      <c r="D19" t="s">
        <v>730</v>
      </c>
      <c r="E19" t="s">
        <v>1454</v>
      </c>
      <c r="F19" t="s">
        <v>2089</v>
      </c>
      <c r="G19">
        <v>10468</v>
      </c>
      <c r="K19">
        <v>1</v>
      </c>
      <c r="L19">
        <v>0</v>
      </c>
      <c r="M19">
        <v>0</v>
      </c>
    </row>
    <row r="20" spans="1:13">
      <c r="A20" s="1">
        <f>HYPERLINK("https://lsnyc.legalserver.org/matter/dynamic-profile/view/0809188","16-0809188")</f>
        <v>0</v>
      </c>
      <c r="B20" t="s">
        <v>13</v>
      </c>
      <c r="C20" t="s">
        <v>32</v>
      </c>
      <c r="D20" t="s">
        <v>731</v>
      </c>
      <c r="E20" t="s">
        <v>1449</v>
      </c>
      <c r="F20" t="s">
        <v>2089</v>
      </c>
      <c r="G20">
        <v>10451</v>
      </c>
      <c r="K20">
        <v>1</v>
      </c>
      <c r="L20">
        <v>0</v>
      </c>
      <c r="M20">
        <v>0</v>
      </c>
    </row>
    <row r="21" spans="1:13">
      <c r="A21" s="1">
        <f>HYPERLINK("https://lsnyc.legalserver.org/matter/dynamic-profile/view/0808986","16-0808986")</f>
        <v>0</v>
      </c>
      <c r="B21" t="s">
        <v>13</v>
      </c>
      <c r="C21" t="s">
        <v>27</v>
      </c>
      <c r="D21" t="s">
        <v>725</v>
      </c>
      <c r="E21" t="s">
        <v>1449</v>
      </c>
      <c r="F21" t="s">
        <v>2089</v>
      </c>
      <c r="G21">
        <v>10451</v>
      </c>
      <c r="K21">
        <v>1</v>
      </c>
      <c r="L21">
        <v>0</v>
      </c>
      <c r="M21">
        <v>0</v>
      </c>
    </row>
    <row r="22" spans="1:13">
      <c r="A22" s="1">
        <f>HYPERLINK("https://lsnyc.legalserver.org/matter/dynamic-profile/view/1859597","18-1859597")</f>
        <v>0</v>
      </c>
      <c r="B22" t="s">
        <v>13</v>
      </c>
      <c r="C22" t="s">
        <v>33</v>
      </c>
      <c r="D22" t="s">
        <v>732</v>
      </c>
      <c r="E22" t="s">
        <v>1455</v>
      </c>
      <c r="F22" t="s">
        <v>2091</v>
      </c>
      <c r="G22">
        <v>11203</v>
      </c>
      <c r="K22">
        <v>1</v>
      </c>
      <c r="L22">
        <v>0</v>
      </c>
      <c r="M22">
        <v>0</v>
      </c>
    </row>
    <row r="23" spans="1:13">
      <c r="A23" s="1">
        <f>HYPERLINK("https://lsnyc.legalserver.org/matter/dynamic-profile/view/1859663","18-1859663")</f>
        <v>0</v>
      </c>
      <c r="B23" t="s">
        <v>13</v>
      </c>
      <c r="C23" t="s">
        <v>34</v>
      </c>
      <c r="D23" t="s">
        <v>733</v>
      </c>
      <c r="E23" t="s">
        <v>1455</v>
      </c>
      <c r="F23" t="s">
        <v>2091</v>
      </c>
      <c r="G23">
        <v>11203</v>
      </c>
      <c r="K23">
        <v>2</v>
      </c>
      <c r="L23">
        <v>0</v>
      </c>
      <c r="M23">
        <v>0</v>
      </c>
    </row>
    <row r="24" spans="1:13">
      <c r="A24" s="1">
        <f>HYPERLINK("https://lsnyc.legalserver.org/matter/dynamic-profile/view/0816086","16-0816086")</f>
        <v>0</v>
      </c>
      <c r="B24" t="s">
        <v>13</v>
      </c>
      <c r="C24" t="s">
        <v>35</v>
      </c>
      <c r="D24" t="s">
        <v>734</v>
      </c>
      <c r="E24" t="s">
        <v>1456</v>
      </c>
      <c r="F24" t="s">
        <v>2090</v>
      </c>
      <c r="G24">
        <v>10304</v>
      </c>
      <c r="K24">
        <v>1</v>
      </c>
      <c r="L24">
        <v>0</v>
      </c>
      <c r="M24">
        <v>0</v>
      </c>
    </row>
    <row r="25" spans="1:13">
      <c r="A25" s="1">
        <f>HYPERLINK("https://lsnyc.legalserver.org/matter/dynamic-profile/view/1866510","18-1866510")</f>
        <v>0</v>
      </c>
      <c r="B25" t="s">
        <v>13</v>
      </c>
      <c r="C25" t="s">
        <v>36</v>
      </c>
      <c r="D25" t="s">
        <v>735</v>
      </c>
      <c r="E25" t="s">
        <v>1457</v>
      </c>
      <c r="F25" t="s">
        <v>2089</v>
      </c>
      <c r="G25">
        <v>10453</v>
      </c>
      <c r="K25">
        <v>1</v>
      </c>
      <c r="L25">
        <v>0</v>
      </c>
      <c r="M25">
        <v>0</v>
      </c>
    </row>
    <row r="26" spans="1:13">
      <c r="A26" s="1">
        <f>HYPERLINK("https://lsnyc.legalserver.org/matter/dynamic-profile/view/1846070","17-1846070")</f>
        <v>0</v>
      </c>
      <c r="B26" t="s">
        <v>14</v>
      </c>
      <c r="C26" t="s">
        <v>37</v>
      </c>
      <c r="D26" t="s">
        <v>736</v>
      </c>
      <c r="E26" t="s">
        <v>1458</v>
      </c>
      <c r="F26" t="s">
        <v>2093</v>
      </c>
      <c r="G26">
        <v>10009</v>
      </c>
      <c r="K26">
        <v>1</v>
      </c>
      <c r="L26">
        <v>0</v>
      </c>
      <c r="M26">
        <v>0</v>
      </c>
    </row>
    <row r="27" spans="1:13">
      <c r="A27" s="1">
        <f>HYPERLINK("https://lsnyc.legalserver.org/matter/dynamic-profile/view/1866480","18-1866480")</f>
        <v>0</v>
      </c>
      <c r="B27" t="s">
        <v>13</v>
      </c>
      <c r="C27" t="s">
        <v>38</v>
      </c>
      <c r="D27" t="s">
        <v>737</v>
      </c>
      <c r="E27" t="s">
        <v>1459</v>
      </c>
      <c r="F27" t="s">
        <v>2091</v>
      </c>
      <c r="G27">
        <v>11217</v>
      </c>
      <c r="K27">
        <v>1</v>
      </c>
      <c r="L27">
        <v>0</v>
      </c>
      <c r="M27">
        <v>0</v>
      </c>
    </row>
    <row r="28" spans="1:13">
      <c r="A28" s="1">
        <f>HYPERLINK("https://lsnyc.legalserver.org/matter/dynamic-profile/view/1866509","18-1866509")</f>
        <v>0</v>
      </c>
      <c r="B28" t="s">
        <v>13</v>
      </c>
      <c r="C28" t="s">
        <v>36</v>
      </c>
      <c r="D28" t="s">
        <v>735</v>
      </c>
      <c r="E28" t="s">
        <v>1457</v>
      </c>
      <c r="F28" t="s">
        <v>2089</v>
      </c>
      <c r="G28">
        <v>10453</v>
      </c>
      <c r="K28">
        <v>1</v>
      </c>
      <c r="L28">
        <v>0</v>
      </c>
      <c r="M28">
        <v>0</v>
      </c>
    </row>
    <row r="29" spans="1:13">
      <c r="A29" s="1">
        <f>HYPERLINK("https://lsnyc.legalserver.org/matter/dynamic-profile/view/0819954","16-0819954")</f>
        <v>0</v>
      </c>
      <c r="B29" t="s">
        <v>13</v>
      </c>
      <c r="C29" t="s">
        <v>39</v>
      </c>
      <c r="D29" t="s">
        <v>738</v>
      </c>
      <c r="E29" t="s">
        <v>1460</v>
      </c>
      <c r="F29" t="s">
        <v>2089</v>
      </c>
      <c r="G29">
        <v>10453</v>
      </c>
      <c r="K29">
        <v>2</v>
      </c>
      <c r="L29">
        <v>0</v>
      </c>
      <c r="M29">
        <v>0</v>
      </c>
    </row>
    <row r="30" spans="1:13">
      <c r="A30" s="1">
        <f>HYPERLINK("https://lsnyc.legalserver.org/matter/dynamic-profile/view/0820082","16-0820082")</f>
        <v>0</v>
      </c>
      <c r="B30" t="s">
        <v>13</v>
      </c>
      <c r="C30" t="s">
        <v>40</v>
      </c>
      <c r="D30" t="s">
        <v>739</v>
      </c>
      <c r="E30" t="s">
        <v>1460</v>
      </c>
      <c r="F30" t="s">
        <v>2089</v>
      </c>
      <c r="G30">
        <v>10453</v>
      </c>
      <c r="K30">
        <v>5</v>
      </c>
      <c r="L30">
        <v>0</v>
      </c>
      <c r="M30">
        <v>0</v>
      </c>
    </row>
    <row r="31" spans="1:13">
      <c r="A31" s="1">
        <f>HYPERLINK("https://lsnyc.legalserver.org/matter/dynamic-profile/view/1840691","17-1840691")</f>
        <v>0</v>
      </c>
      <c r="B31" t="s">
        <v>13</v>
      </c>
      <c r="C31" t="s">
        <v>39</v>
      </c>
      <c r="D31" t="s">
        <v>738</v>
      </c>
      <c r="E31" t="s">
        <v>1460</v>
      </c>
      <c r="F31" t="s">
        <v>2089</v>
      </c>
      <c r="G31">
        <v>10453</v>
      </c>
      <c r="K31">
        <v>2</v>
      </c>
      <c r="L31">
        <v>0</v>
      </c>
      <c r="M31">
        <v>0</v>
      </c>
    </row>
    <row r="32" spans="1:13">
      <c r="A32" s="1">
        <f>HYPERLINK("https://lsnyc.legalserver.org/matter/dynamic-profile/view/1863801","18-1863801")</f>
        <v>0</v>
      </c>
      <c r="B32" t="s">
        <v>13</v>
      </c>
      <c r="C32" t="s">
        <v>41</v>
      </c>
      <c r="D32" t="s">
        <v>740</v>
      </c>
      <c r="E32" t="s">
        <v>1461</v>
      </c>
      <c r="F32" t="s">
        <v>2090</v>
      </c>
      <c r="G32">
        <v>10304</v>
      </c>
      <c r="K32">
        <v>2</v>
      </c>
      <c r="L32">
        <v>0</v>
      </c>
      <c r="M32">
        <v>0</v>
      </c>
    </row>
    <row r="33" spans="1:13">
      <c r="A33" s="1">
        <f>HYPERLINK("https://lsnyc.legalserver.org/matter/dynamic-profile/view/0801898","16-0801898")</f>
        <v>0</v>
      </c>
      <c r="B33" t="s">
        <v>13</v>
      </c>
      <c r="C33" t="s">
        <v>42</v>
      </c>
      <c r="D33" t="s">
        <v>741</v>
      </c>
      <c r="E33" t="s">
        <v>1462</v>
      </c>
      <c r="F33" t="s">
        <v>2092</v>
      </c>
      <c r="G33">
        <v>11354</v>
      </c>
      <c r="K33">
        <v>1</v>
      </c>
      <c r="L33">
        <v>0</v>
      </c>
      <c r="M33">
        <v>0</v>
      </c>
    </row>
    <row r="34" spans="1:13">
      <c r="A34" s="1">
        <f>HYPERLINK("https://lsnyc.legalserver.org/matter/dynamic-profile/view/1857353","18-1857353")</f>
        <v>0</v>
      </c>
      <c r="B34" t="s">
        <v>13</v>
      </c>
      <c r="C34" t="s">
        <v>41</v>
      </c>
      <c r="D34" t="s">
        <v>742</v>
      </c>
      <c r="E34" t="s">
        <v>1463</v>
      </c>
      <c r="F34" t="s">
        <v>2091</v>
      </c>
      <c r="G34">
        <v>11207</v>
      </c>
      <c r="K34">
        <v>1</v>
      </c>
      <c r="L34">
        <v>0</v>
      </c>
      <c r="M34">
        <v>0</v>
      </c>
    </row>
    <row r="35" spans="1:13">
      <c r="A35" s="1">
        <f>HYPERLINK("https://lsnyc.legalserver.org/matter/dynamic-profile/view/1841071","17-1841071")</f>
        <v>0</v>
      </c>
      <c r="B35" t="s">
        <v>13</v>
      </c>
      <c r="C35" t="s">
        <v>43</v>
      </c>
      <c r="D35" t="s">
        <v>743</v>
      </c>
      <c r="E35" t="s">
        <v>1464</v>
      </c>
      <c r="F35" t="s">
        <v>2094</v>
      </c>
      <c r="G35">
        <v>11432</v>
      </c>
      <c r="K35">
        <v>4</v>
      </c>
      <c r="L35">
        <v>0</v>
      </c>
      <c r="M35">
        <v>0</v>
      </c>
    </row>
    <row r="36" spans="1:13">
      <c r="A36" s="1">
        <f>HYPERLINK("https://lsnyc.legalserver.org/matter/dynamic-profile/view/1841079","17-1841079")</f>
        <v>0</v>
      </c>
      <c r="B36" t="s">
        <v>13</v>
      </c>
      <c r="C36" t="s">
        <v>43</v>
      </c>
      <c r="D36" t="s">
        <v>743</v>
      </c>
      <c r="E36" t="s">
        <v>1464</v>
      </c>
      <c r="F36" t="s">
        <v>2094</v>
      </c>
      <c r="G36">
        <v>11432</v>
      </c>
      <c r="K36">
        <v>4</v>
      </c>
      <c r="L36">
        <v>0</v>
      </c>
      <c r="M36">
        <v>0</v>
      </c>
    </row>
    <row r="37" spans="1:13">
      <c r="A37" s="1">
        <f>HYPERLINK("https://lsnyc.legalserver.org/matter/dynamic-profile/view/1871146","18-1871146")</f>
        <v>0</v>
      </c>
      <c r="B37" t="s">
        <v>13</v>
      </c>
      <c r="C37" t="s">
        <v>44</v>
      </c>
      <c r="D37" t="s">
        <v>744</v>
      </c>
      <c r="E37" t="s">
        <v>1465</v>
      </c>
      <c r="F37" t="s">
        <v>2089</v>
      </c>
      <c r="G37">
        <v>10460</v>
      </c>
      <c r="K37">
        <v>1</v>
      </c>
      <c r="L37">
        <v>0</v>
      </c>
      <c r="M37">
        <v>0</v>
      </c>
    </row>
    <row r="38" spans="1:13">
      <c r="A38" s="1">
        <f>HYPERLINK("https://lsnyc.legalserver.org/matter/dynamic-profile/view/1872110","18-1872110")</f>
        <v>0</v>
      </c>
      <c r="B38" t="s">
        <v>13</v>
      </c>
      <c r="C38" t="s">
        <v>45</v>
      </c>
      <c r="D38" t="s">
        <v>745</v>
      </c>
      <c r="E38" t="s">
        <v>1466</v>
      </c>
      <c r="F38" t="s">
        <v>2091</v>
      </c>
      <c r="G38">
        <v>11225</v>
      </c>
      <c r="K38">
        <v>1</v>
      </c>
      <c r="L38">
        <v>0</v>
      </c>
      <c r="M38">
        <v>0</v>
      </c>
    </row>
    <row r="39" spans="1:13">
      <c r="A39" s="1">
        <f>HYPERLINK("https://lsnyc.legalserver.org/matter/dynamic-profile/view/1848024","17-1848024")</f>
        <v>0</v>
      </c>
      <c r="B39" t="s">
        <v>13</v>
      </c>
      <c r="C39" t="s">
        <v>46</v>
      </c>
      <c r="D39" t="s">
        <v>746</v>
      </c>
      <c r="E39" t="s">
        <v>1467</v>
      </c>
      <c r="F39" t="s">
        <v>2091</v>
      </c>
      <c r="G39">
        <v>11207</v>
      </c>
      <c r="K39">
        <v>3</v>
      </c>
      <c r="L39">
        <v>0</v>
      </c>
      <c r="M39">
        <v>0</v>
      </c>
    </row>
    <row r="40" spans="1:13">
      <c r="A40" s="1">
        <f>HYPERLINK("https://lsnyc.legalserver.org/matter/dynamic-profile/view/1836485","17-1836485")</f>
        <v>0</v>
      </c>
      <c r="B40" t="s">
        <v>13</v>
      </c>
      <c r="C40" t="s">
        <v>25</v>
      </c>
      <c r="D40" t="s">
        <v>723</v>
      </c>
      <c r="E40" t="s">
        <v>1448</v>
      </c>
      <c r="F40" t="s">
        <v>2091</v>
      </c>
      <c r="G40">
        <v>11212</v>
      </c>
      <c r="K40">
        <v>1</v>
      </c>
      <c r="L40">
        <v>0</v>
      </c>
      <c r="M40">
        <v>0</v>
      </c>
    </row>
    <row r="41" spans="1:13">
      <c r="A41" s="1">
        <f>HYPERLINK("https://lsnyc.legalserver.org/matter/dynamic-profile/view/1840965","17-1840965")</f>
        <v>0</v>
      </c>
      <c r="B41" t="s">
        <v>13</v>
      </c>
      <c r="C41" t="s">
        <v>47</v>
      </c>
      <c r="D41" t="s">
        <v>747</v>
      </c>
      <c r="E41" t="s">
        <v>1468</v>
      </c>
      <c r="F41" t="s">
        <v>2089</v>
      </c>
      <c r="G41">
        <v>10453</v>
      </c>
      <c r="K41">
        <v>1</v>
      </c>
      <c r="L41">
        <v>0</v>
      </c>
      <c r="M41">
        <v>0</v>
      </c>
    </row>
    <row r="42" spans="1:13">
      <c r="A42" s="1">
        <f>HYPERLINK("https://lsnyc.legalserver.org/matter/dynamic-profile/view/1887833","19-1887833")</f>
        <v>0</v>
      </c>
      <c r="B42" t="s">
        <v>13</v>
      </c>
      <c r="C42" t="s">
        <v>45</v>
      </c>
      <c r="D42" t="s">
        <v>745</v>
      </c>
      <c r="E42" t="s">
        <v>1466</v>
      </c>
      <c r="F42" t="s">
        <v>2091</v>
      </c>
      <c r="G42">
        <v>11225</v>
      </c>
      <c r="K42">
        <v>1</v>
      </c>
      <c r="L42">
        <v>0</v>
      </c>
      <c r="M42">
        <v>0</v>
      </c>
    </row>
    <row r="43" spans="1:13">
      <c r="A43" s="1">
        <f>HYPERLINK("https://lsnyc.legalserver.org/matter/dynamic-profile/view/0781305","15-0781305")</f>
        <v>0</v>
      </c>
      <c r="B43" t="s">
        <v>13</v>
      </c>
      <c r="C43" t="s">
        <v>42</v>
      </c>
      <c r="D43" t="s">
        <v>741</v>
      </c>
      <c r="E43" t="s">
        <v>1462</v>
      </c>
      <c r="F43" t="s">
        <v>2092</v>
      </c>
      <c r="G43">
        <v>11354</v>
      </c>
      <c r="K43">
        <v>1</v>
      </c>
      <c r="L43">
        <v>0</v>
      </c>
      <c r="M43">
        <v>0</v>
      </c>
    </row>
    <row r="44" spans="1:13">
      <c r="A44" s="1">
        <f>HYPERLINK("https://lsnyc.legalserver.org/matter/dynamic-profile/view/1836085","17-1836085")</f>
        <v>0</v>
      </c>
      <c r="B44" t="s">
        <v>13</v>
      </c>
      <c r="C44" t="s">
        <v>25</v>
      </c>
      <c r="D44" t="s">
        <v>723</v>
      </c>
      <c r="E44" t="s">
        <v>1448</v>
      </c>
      <c r="F44" t="s">
        <v>2091</v>
      </c>
      <c r="G44">
        <v>11212</v>
      </c>
      <c r="K44">
        <v>1</v>
      </c>
      <c r="L44">
        <v>0</v>
      </c>
      <c r="M44">
        <v>0</v>
      </c>
    </row>
    <row r="45" spans="1:13">
      <c r="A45" s="1">
        <f>HYPERLINK("https://lsnyc.legalserver.org/matter/dynamic-profile/view/0800080","16-0800080")</f>
        <v>0</v>
      </c>
      <c r="B45" t="s">
        <v>13</v>
      </c>
      <c r="C45" t="s">
        <v>48</v>
      </c>
      <c r="D45" t="s">
        <v>748</v>
      </c>
      <c r="E45" t="s">
        <v>1469</v>
      </c>
      <c r="F45" t="s">
        <v>2089</v>
      </c>
      <c r="G45">
        <v>10457</v>
      </c>
      <c r="K45">
        <v>2</v>
      </c>
      <c r="L45">
        <v>0</v>
      </c>
      <c r="M45">
        <v>0</v>
      </c>
    </row>
    <row r="46" spans="1:13">
      <c r="A46" s="1">
        <f>HYPERLINK("https://lsnyc.legalserver.org/matter/dynamic-profile/view/0816819","16-0816819")</f>
        <v>0</v>
      </c>
      <c r="B46" t="s">
        <v>13</v>
      </c>
      <c r="C46" t="s">
        <v>48</v>
      </c>
      <c r="D46" t="s">
        <v>748</v>
      </c>
      <c r="E46" t="s">
        <v>1469</v>
      </c>
      <c r="F46" t="s">
        <v>2089</v>
      </c>
      <c r="G46">
        <v>10457</v>
      </c>
      <c r="K46">
        <v>2</v>
      </c>
      <c r="L46">
        <v>0</v>
      </c>
      <c r="M46">
        <v>0</v>
      </c>
    </row>
    <row r="47" spans="1:13">
      <c r="A47" s="1">
        <f>HYPERLINK("https://lsnyc.legalserver.org/matter/dynamic-profile/view/0816897","16-0816897")</f>
        <v>0</v>
      </c>
      <c r="B47" t="s">
        <v>13</v>
      </c>
      <c r="C47" t="s">
        <v>49</v>
      </c>
      <c r="D47" t="s">
        <v>749</v>
      </c>
      <c r="E47" t="s">
        <v>1469</v>
      </c>
      <c r="F47" t="s">
        <v>2089</v>
      </c>
      <c r="G47">
        <v>10457</v>
      </c>
      <c r="K47">
        <v>2</v>
      </c>
      <c r="L47">
        <v>0</v>
      </c>
      <c r="M47">
        <v>0</v>
      </c>
    </row>
    <row r="48" spans="1:13">
      <c r="A48" s="1">
        <f>HYPERLINK("https://lsnyc.legalserver.org/matter/dynamic-profile/view/0816930","16-0816930")</f>
        <v>0</v>
      </c>
      <c r="B48" t="s">
        <v>13</v>
      </c>
      <c r="C48" t="s">
        <v>39</v>
      </c>
      <c r="D48" t="s">
        <v>750</v>
      </c>
      <c r="E48" t="s">
        <v>1469</v>
      </c>
      <c r="F48" t="s">
        <v>2089</v>
      </c>
      <c r="G48">
        <v>10457</v>
      </c>
      <c r="K48">
        <v>1</v>
      </c>
      <c r="L48">
        <v>0</v>
      </c>
      <c r="M48">
        <v>0</v>
      </c>
    </row>
    <row r="49" spans="1:13">
      <c r="A49" s="1">
        <f>HYPERLINK("https://lsnyc.legalserver.org/matter/dynamic-profile/view/0821600","16-0821600")</f>
        <v>0</v>
      </c>
      <c r="B49" t="s">
        <v>13</v>
      </c>
      <c r="C49" t="s">
        <v>50</v>
      </c>
      <c r="D49" t="s">
        <v>751</v>
      </c>
      <c r="E49" t="s">
        <v>1470</v>
      </c>
      <c r="F49" t="s">
        <v>2089</v>
      </c>
      <c r="G49">
        <v>10452</v>
      </c>
      <c r="K49">
        <v>1</v>
      </c>
      <c r="L49">
        <v>0</v>
      </c>
      <c r="M49">
        <v>0</v>
      </c>
    </row>
    <row r="50" spans="1:13">
      <c r="A50" s="1">
        <f>HYPERLINK("https://lsnyc.legalserver.org/matter/dynamic-profile/view/0822083","16-0822083")</f>
        <v>0</v>
      </c>
      <c r="B50" t="s">
        <v>13</v>
      </c>
      <c r="C50" t="s">
        <v>51</v>
      </c>
      <c r="D50" t="s">
        <v>752</v>
      </c>
      <c r="E50" t="s">
        <v>1471</v>
      </c>
      <c r="F50" t="s">
        <v>2089</v>
      </c>
      <c r="G50">
        <v>10452</v>
      </c>
      <c r="K50">
        <v>2</v>
      </c>
      <c r="L50">
        <v>0</v>
      </c>
      <c r="M50">
        <v>0</v>
      </c>
    </row>
    <row r="51" spans="1:13">
      <c r="A51" s="1">
        <f>HYPERLINK("https://lsnyc.legalserver.org/matter/dynamic-profile/view/0822086","16-0822086")</f>
        <v>0</v>
      </c>
      <c r="B51" t="s">
        <v>13</v>
      </c>
      <c r="C51" t="s">
        <v>51</v>
      </c>
      <c r="D51" t="s">
        <v>752</v>
      </c>
      <c r="E51" t="s">
        <v>1471</v>
      </c>
      <c r="F51" t="s">
        <v>2089</v>
      </c>
      <c r="G51">
        <v>10452</v>
      </c>
      <c r="K51">
        <v>2</v>
      </c>
      <c r="L51">
        <v>0</v>
      </c>
      <c r="M51">
        <v>0</v>
      </c>
    </row>
    <row r="52" spans="1:13">
      <c r="A52" s="1">
        <f>HYPERLINK("https://lsnyc.legalserver.org/matter/dynamic-profile/view/0823604","17-0823604")</f>
        <v>0</v>
      </c>
      <c r="B52" t="s">
        <v>13</v>
      </c>
      <c r="C52" t="s">
        <v>52</v>
      </c>
      <c r="D52" t="s">
        <v>753</v>
      </c>
      <c r="E52" t="s">
        <v>1470</v>
      </c>
      <c r="F52" t="s">
        <v>2089</v>
      </c>
      <c r="G52">
        <v>10452</v>
      </c>
      <c r="K52">
        <v>1</v>
      </c>
      <c r="L52">
        <v>0</v>
      </c>
      <c r="M52">
        <v>0</v>
      </c>
    </row>
    <row r="53" spans="1:13">
      <c r="A53" s="1">
        <f>HYPERLINK("https://lsnyc.legalserver.org/matter/dynamic-profile/view/1857277","18-1857277")</f>
        <v>0</v>
      </c>
      <c r="B53" t="s">
        <v>13</v>
      </c>
      <c r="C53" t="s">
        <v>52</v>
      </c>
      <c r="D53" t="s">
        <v>753</v>
      </c>
      <c r="E53" t="s">
        <v>1470</v>
      </c>
      <c r="F53" t="s">
        <v>2089</v>
      </c>
      <c r="G53">
        <v>10452</v>
      </c>
      <c r="K53">
        <v>1</v>
      </c>
      <c r="L53">
        <v>0</v>
      </c>
      <c r="M53">
        <v>0</v>
      </c>
    </row>
    <row r="54" spans="1:13">
      <c r="A54" s="1">
        <f>HYPERLINK("https://lsnyc.legalserver.org/matter/dynamic-profile/view/1842829","17-1842829")</f>
        <v>0</v>
      </c>
      <c r="B54" t="s">
        <v>13</v>
      </c>
      <c r="C54" t="s">
        <v>53</v>
      </c>
      <c r="D54" t="s">
        <v>754</v>
      </c>
      <c r="E54" t="s">
        <v>1472</v>
      </c>
      <c r="F54" t="s">
        <v>2090</v>
      </c>
      <c r="G54">
        <v>10314</v>
      </c>
      <c r="K54">
        <v>1</v>
      </c>
      <c r="L54">
        <v>0</v>
      </c>
      <c r="M54">
        <v>0</v>
      </c>
    </row>
    <row r="55" spans="1:13">
      <c r="A55" s="1">
        <f>HYPERLINK("https://lsnyc.legalserver.org/matter/dynamic-profile/view/1867085","18-1867085")</f>
        <v>0</v>
      </c>
      <c r="B55" t="s">
        <v>13</v>
      </c>
      <c r="C55" t="s">
        <v>25</v>
      </c>
      <c r="D55" t="s">
        <v>723</v>
      </c>
      <c r="E55" t="s">
        <v>1448</v>
      </c>
      <c r="F55" t="s">
        <v>2091</v>
      </c>
      <c r="G55">
        <v>11212</v>
      </c>
      <c r="K55">
        <v>1</v>
      </c>
      <c r="L55">
        <v>0</v>
      </c>
      <c r="M55">
        <v>0</v>
      </c>
    </row>
    <row r="56" spans="1:13">
      <c r="A56" s="1">
        <f>HYPERLINK("https://lsnyc.legalserver.org/matter/dynamic-profile/view/0826016","17-0826016")</f>
        <v>0</v>
      </c>
      <c r="B56" t="s">
        <v>13</v>
      </c>
      <c r="C56" t="s">
        <v>54</v>
      </c>
      <c r="D56" t="s">
        <v>755</v>
      </c>
      <c r="E56" t="s">
        <v>1473</v>
      </c>
      <c r="F56" t="s">
        <v>2089</v>
      </c>
      <c r="G56">
        <v>10467</v>
      </c>
      <c r="K56">
        <v>1</v>
      </c>
      <c r="L56">
        <v>0</v>
      </c>
      <c r="M56">
        <v>0</v>
      </c>
    </row>
    <row r="57" spans="1:13">
      <c r="A57" s="1">
        <f>HYPERLINK("https://lsnyc.legalserver.org/matter/dynamic-profile/view/0799844","16-0799844")</f>
        <v>0</v>
      </c>
      <c r="B57" t="s">
        <v>13</v>
      </c>
      <c r="C57" t="s">
        <v>48</v>
      </c>
      <c r="D57" t="s">
        <v>748</v>
      </c>
      <c r="E57" t="s">
        <v>1469</v>
      </c>
      <c r="F57" t="s">
        <v>2089</v>
      </c>
      <c r="G57">
        <v>10457</v>
      </c>
      <c r="K57">
        <v>2</v>
      </c>
      <c r="L57">
        <v>0</v>
      </c>
      <c r="M57">
        <v>0</v>
      </c>
    </row>
    <row r="58" spans="1:13">
      <c r="A58" s="1">
        <f>HYPERLINK("https://lsnyc.legalserver.org/matter/dynamic-profile/view/0809055","16-0809055")</f>
        <v>0</v>
      </c>
      <c r="B58" t="s">
        <v>13</v>
      </c>
      <c r="C58" t="s">
        <v>49</v>
      </c>
      <c r="D58" t="s">
        <v>749</v>
      </c>
      <c r="E58" t="s">
        <v>1469</v>
      </c>
      <c r="F58" t="s">
        <v>2089</v>
      </c>
      <c r="G58">
        <v>10457</v>
      </c>
      <c r="K58">
        <v>2</v>
      </c>
      <c r="L58">
        <v>0</v>
      </c>
      <c r="M58">
        <v>0</v>
      </c>
    </row>
    <row r="59" spans="1:13">
      <c r="A59" s="1">
        <f>HYPERLINK("https://lsnyc.legalserver.org/matter/dynamic-profile/view/0811047","16-0811047")</f>
        <v>0</v>
      </c>
      <c r="B59" t="s">
        <v>13</v>
      </c>
      <c r="C59" t="s">
        <v>39</v>
      </c>
      <c r="D59" t="s">
        <v>750</v>
      </c>
      <c r="E59" t="s">
        <v>1469</v>
      </c>
      <c r="F59" t="s">
        <v>2089</v>
      </c>
      <c r="G59">
        <v>10457</v>
      </c>
      <c r="K59">
        <v>1</v>
      </c>
      <c r="L59">
        <v>0</v>
      </c>
      <c r="M59">
        <v>0</v>
      </c>
    </row>
    <row r="60" spans="1:13">
      <c r="A60" s="1">
        <f>HYPERLINK("https://lsnyc.legalserver.org/matter/dynamic-profile/view/0806145","16-0806145")</f>
        <v>0</v>
      </c>
      <c r="B60" t="s">
        <v>13</v>
      </c>
      <c r="C60" t="s">
        <v>52</v>
      </c>
      <c r="D60" t="s">
        <v>753</v>
      </c>
      <c r="E60" t="s">
        <v>1470</v>
      </c>
      <c r="F60" t="s">
        <v>2089</v>
      </c>
      <c r="G60">
        <v>10452</v>
      </c>
      <c r="K60">
        <v>1</v>
      </c>
      <c r="L60">
        <v>0</v>
      </c>
      <c r="M60">
        <v>0</v>
      </c>
    </row>
    <row r="61" spans="1:13">
      <c r="A61" s="1">
        <f>HYPERLINK("https://lsnyc.legalserver.org/matter/dynamic-profile/view/0812519","16-0812519")</f>
        <v>0</v>
      </c>
      <c r="B61" t="s">
        <v>13</v>
      </c>
      <c r="C61" t="s">
        <v>50</v>
      </c>
      <c r="D61" t="s">
        <v>751</v>
      </c>
      <c r="E61" t="s">
        <v>1470</v>
      </c>
      <c r="F61" t="s">
        <v>2089</v>
      </c>
      <c r="G61">
        <v>10452</v>
      </c>
      <c r="K61">
        <v>1</v>
      </c>
      <c r="L61">
        <v>0</v>
      </c>
      <c r="M61">
        <v>0</v>
      </c>
    </row>
    <row r="62" spans="1:13">
      <c r="A62" s="1">
        <f>HYPERLINK("https://lsnyc.legalserver.org/matter/dynamic-profile/view/0820633","16-0820633")</f>
        <v>0</v>
      </c>
      <c r="B62" t="s">
        <v>13</v>
      </c>
      <c r="C62" t="s">
        <v>18</v>
      </c>
      <c r="D62" t="s">
        <v>729</v>
      </c>
      <c r="E62" t="s">
        <v>1453</v>
      </c>
      <c r="F62" t="s">
        <v>2089</v>
      </c>
      <c r="G62">
        <v>10452</v>
      </c>
      <c r="K62">
        <v>1</v>
      </c>
      <c r="L62">
        <v>0</v>
      </c>
      <c r="M62">
        <v>0</v>
      </c>
    </row>
    <row r="63" spans="1:13">
      <c r="A63" s="1">
        <f>HYPERLINK("https://lsnyc.legalserver.org/matter/dynamic-profile/view/1865133","18-1865133")</f>
        <v>0</v>
      </c>
      <c r="B63" t="s">
        <v>13</v>
      </c>
      <c r="C63" t="s">
        <v>55</v>
      </c>
      <c r="D63" t="s">
        <v>756</v>
      </c>
      <c r="E63" t="s">
        <v>1474</v>
      </c>
      <c r="F63" t="s">
        <v>2091</v>
      </c>
      <c r="G63">
        <v>11233</v>
      </c>
      <c r="K63">
        <v>1</v>
      </c>
      <c r="L63">
        <v>0</v>
      </c>
      <c r="M63">
        <v>0</v>
      </c>
    </row>
    <row r="64" spans="1:13">
      <c r="A64" s="1">
        <f>HYPERLINK("https://lsnyc.legalserver.org/matter/dynamic-profile/view/1835046","17-1835046")</f>
        <v>0</v>
      </c>
      <c r="B64" t="s">
        <v>13</v>
      </c>
      <c r="C64" t="s">
        <v>56</v>
      </c>
      <c r="D64" t="s">
        <v>757</v>
      </c>
      <c r="E64" t="s">
        <v>1475</v>
      </c>
      <c r="F64" t="s">
        <v>2091</v>
      </c>
      <c r="G64">
        <v>11230</v>
      </c>
      <c r="K64">
        <v>1</v>
      </c>
      <c r="L64">
        <v>0</v>
      </c>
      <c r="M64">
        <v>0</v>
      </c>
    </row>
    <row r="65" spans="1:13">
      <c r="A65" s="1">
        <f>HYPERLINK("https://lsnyc.legalserver.org/matter/dynamic-profile/view/1843785","17-1843785")</f>
        <v>0</v>
      </c>
      <c r="B65" t="s">
        <v>14</v>
      </c>
      <c r="C65" t="s">
        <v>57</v>
      </c>
      <c r="D65" t="s">
        <v>758</v>
      </c>
      <c r="E65" t="s">
        <v>1476</v>
      </c>
      <c r="F65" t="s">
        <v>2091</v>
      </c>
      <c r="G65">
        <v>11220</v>
      </c>
      <c r="K65">
        <v>1</v>
      </c>
      <c r="L65">
        <v>0</v>
      </c>
      <c r="M65">
        <v>0</v>
      </c>
    </row>
    <row r="66" spans="1:13">
      <c r="A66" s="1">
        <f>HYPERLINK("https://lsnyc.legalserver.org/matter/dynamic-profile/view/0808322","16-0808322")</f>
        <v>0</v>
      </c>
      <c r="B66" t="s">
        <v>13</v>
      </c>
      <c r="C66" t="s">
        <v>58</v>
      </c>
      <c r="D66" t="s">
        <v>756</v>
      </c>
      <c r="E66" t="s">
        <v>1477</v>
      </c>
      <c r="F66" t="s">
        <v>2091</v>
      </c>
      <c r="G66">
        <v>11216</v>
      </c>
      <c r="K66">
        <v>1</v>
      </c>
      <c r="L66">
        <v>0</v>
      </c>
      <c r="M66">
        <v>0</v>
      </c>
    </row>
    <row r="67" spans="1:13">
      <c r="A67" s="1">
        <f>HYPERLINK("https://lsnyc.legalserver.org/matter/dynamic-profile/view/1849905","17-1849905")</f>
        <v>0</v>
      </c>
      <c r="B67" t="s">
        <v>13</v>
      </c>
      <c r="C67" t="s">
        <v>59</v>
      </c>
      <c r="D67" t="s">
        <v>759</v>
      </c>
      <c r="E67" t="s">
        <v>1478</v>
      </c>
      <c r="F67" t="s">
        <v>2091</v>
      </c>
      <c r="G67">
        <v>11208</v>
      </c>
      <c r="K67">
        <v>1</v>
      </c>
      <c r="L67">
        <v>0</v>
      </c>
      <c r="M67">
        <v>0</v>
      </c>
    </row>
    <row r="68" spans="1:13">
      <c r="A68" s="1">
        <f>HYPERLINK("https://lsnyc.legalserver.org/matter/dynamic-profile/view/1867207","18-1867207")</f>
        <v>0</v>
      </c>
      <c r="B68" t="s">
        <v>13</v>
      </c>
      <c r="C68" t="s">
        <v>60</v>
      </c>
      <c r="D68" t="s">
        <v>760</v>
      </c>
      <c r="E68" t="s">
        <v>1479</v>
      </c>
      <c r="F68" t="s">
        <v>2094</v>
      </c>
      <c r="G68">
        <v>11435</v>
      </c>
      <c r="K68">
        <v>1</v>
      </c>
      <c r="L68">
        <v>0</v>
      </c>
      <c r="M68">
        <v>0</v>
      </c>
    </row>
    <row r="69" spans="1:13">
      <c r="A69" s="1">
        <f>HYPERLINK("https://lsnyc.legalserver.org/matter/dynamic-profile/view/1845274","17-1845274")</f>
        <v>0</v>
      </c>
      <c r="B69" t="s">
        <v>13</v>
      </c>
      <c r="C69" t="s">
        <v>61</v>
      </c>
      <c r="D69" t="s">
        <v>761</v>
      </c>
      <c r="E69" t="s">
        <v>1480</v>
      </c>
      <c r="F69" t="s">
        <v>2091</v>
      </c>
      <c r="G69">
        <v>11208</v>
      </c>
      <c r="K69">
        <v>1</v>
      </c>
      <c r="L69">
        <v>0</v>
      </c>
      <c r="M69">
        <v>0</v>
      </c>
    </row>
    <row r="70" spans="1:13">
      <c r="A70" s="1">
        <f>HYPERLINK("https://lsnyc.legalserver.org/matter/dynamic-profile/view/1855129","18-1855129")</f>
        <v>0</v>
      </c>
      <c r="B70" t="s">
        <v>13</v>
      </c>
      <c r="C70" t="s">
        <v>62</v>
      </c>
      <c r="D70" t="s">
        <v>762</v>
      </c>
      <c r="E70" t="s">
        <v>1481</v>
      </c>
      <c r="F70" t="s">
        <v>2095</v>
      </c>
      <c r="G70">
        <v>11691</v>
      </c>
      <c r="K70">
        <v>2</v>
      </c>
      <c r="L70">
        <v>0</v>
      </c>
      <c r="M70">
        <v>0</v>
      </c>
    </row>
    <row r="71" spans="1:13">
      <c r="A71" s="1">
        <f>HYPERLINK("https://lsnyc.legalserver.org/matter/dynamic-profile/view/0815667","16-0815667")</f>
        <v>0</v>
      </c>
      <c r="B71" t="s">
        <v>13</v>
      </c>
      <c r="C71" t="s">
        <v>63</v>
      </c>
      <c r="D71" t="s">
        <v>763</v>
      </c>
      <c r="E71" t="s">
        <v>1482</v>
      </c>
      <c r="F71" t="s">
        <v>2092</v>
      </c>
      <c r="G71">
        <v>11354</v>
      </c>
      <c r="K71">
        <v>1</v>
      </c>
      <c r="L71">
        <v>0</v>
      </c>
      <c r="M71">
        <v>0</v>
      </c>
    </row>
    <row r="72" spans="1:13">
      <c r="A72" s="1">
        <f>HYPERLINK("https://lsnyc.legalserver.org/matter/dynamic-profile/view/1859694","18-1859694")</f>
        <v>0</v>
      </c>
      <c r="B72" t="s">
        <v>13</v>
      </c>
      <c r="C72" t="s">
        <v>64</v>
      </c>
      <c r="D72" t="s">
        <v>764</v>
      </c>
      <c r="E72" t="s">
        <v>1483</v>
      </c>
      <c r="F72" t="s">
        <v>2091</v>
      </c>
      <c r="G72">
        <v>11206</v>
      </c>
      <c r="K72">
        <v>1</v>
      </c>
      <c r="L72">
        <v>0</v>
      </c>
      <c r="M72">
        <v>0</v>
      </c>
    </row>
    <row r="73" spans="1:13">
      <c r="A73" s="1">
        <f>HYPERLINK("https://lsnyc.legalserver.org/matter/dynamic-profile/view/1857482","18-1857482")</f>
        <v>0</v>
      </c>
      <c r="B73" t="s">
        <v>13</v>
      </c>
      <c r="C73" t="s">
        <v>65</v>
      </c>
      <c r="D73" t="s">
        <v>18</v>
      </c>
      <c r="E73" t="s">
        <v>1484</v>
      </c>
      <c r="F73" t="s">
        <v>2090</v>
      </c>
      <c r="G73">
        <v>10301</v>
      </c>
      <c r="K73">
        <v>1</v>
      </c>
      <c r="L73">
        <v>0</v>
      </c>
      <c r="M73">
        <v>0</v>
      </c>
    </row>
    <row r="74" spans="1:13">
      <c r="A74" s="1">
        <f>HYPERLINK("https://lsnyc.legalserver.org/matter/dynamic-profile/view/1837705","17-1837705")</f>
        <v>0</v>
      </c>
      <c r="B74" t="s">
        <v>13</v>
      </c>
      <c r="C74" t="s">
        <v>66</v>
      </c>
      <c r="D74" t="s">
        <v>765</v>
      </c>
      <c r="E74" t="s">
        <v>1485</v>
      </c>
      <c r="F74" t="s">
        <v>2093</v>
      </c>
      <c r="G74">
        <v>10034</v>
      </c>
      <c r="K74">
        <v>2</v>
      </c>
      <c r="L74">
        <v>0</v>
      </c>
      <c r="M74">
        <v>0</v>
      </c>
    </row>
    <row r="75" spans="1:13">
      <c r="A75" s="1">
        <f>HYPERLINK("https://lsnyc.legalserver.org/matter/dynamic-profile/view/1854368","17-1854368")</f>
        <v>0</v>
      </c>
      <c r="B75" t="s">
        <v>14</v>
      </c>
      <c r="C75" t="s">
        <v>67</v>
      </c>
      <c r="D75" t="s">
        <v>766</v>
      </c>
      <c r="E75" t="s">
        <v>1486</v>
      </c>
      <c r="F75" t="s">
        <v>2093</v>
      </c>
      <c r="G75">
        <v>10018</v>
      </c>
      <c r="K75">
        <v>1</v>
      </c>
      <c r="L75">
        <v>0</v>
      </c>
      <c r="M75">
        <v>0</v>
      </c>
    </row>
    <row r="76" spans="1:13">
      <c r="A76" s="1">
        <f>HYPERLINK("https://lsnyc.legalserver.org/matter/dynamic-profile/view/1861632","18-1861632")</f>
        <v>0</v>
      </c>
      <c r="B76" t="s">
        <v>13</v>
      </c>
      <c r="C76" t="s">
        <v>68</v>
      </c>
      <c r="D76" t="s">
        <v>767</v>
      </c>
      <c r="E76" t="s">
        <v>1487</v>
      </c>
      <c r="F76" t="s">
        <v>2091</v>
      </c>
      <c r="G76">
        <v>11215</v>
      </c>
      <c r="K76">
        <v>2</v>
      </c>
      <c r="L76">
        <v>0</v>
      </c>
      <c r="M76">
        <v>0</v>
      </c>
    </row>
    <row r="77" spans="1:13">
      <c r="A77" s="1">
        <f>HYPERLINK("https://lsnyc.legalserver.org/matter/dynamic-profile/view/1864296","18-1864296")</f>
        <v>0</v>
      </c>
      <c r="B77" t="s">
        <v>13</v>
      </c>
      <c r="C77" t="s">
        <v>53</v>
      </c>
      <c r="D77" t="s">
        <v>768</v>
      </c>
      <c r="E77" t="s">
        <v>1488</v>
      </c>
      <c r="F77" t="s">
        <v>2091</v>
      </c>
      <c r="G77">
        <v>11212</v>
      </c>
      <c r="K77">
        <v>1</v>
      </c>
      <c r="L77">
        <v>0</v>
      </c>
      <c r="M77">
        <v>0</v>
      </c>
    </row>
    <row r="78" spans="1:13">
      <c r="A78" s="1">
        <f>HYPERLINK("https://lsnyc.legalserver.org/matter/dynamic-profile/view/1855358","18-1855358")</f>
        <v>0</v>
      </c>
      <c r="B78" t="s">
        <v>13</v>
      </c>
      <c r="C78" t="s">
        <v>33</v>
      </c>
      <c r="D78" t="s">
        <v>732</v>
      </c>
      <c r="E78" t="s">
        <v>1455</v>
      </c>
      <c r="F78" t="s">
        <v>2091</v>
      </c>
      <c r="G78">
        <v>11203</v>
      </c>
      <c r="K78">
        <v>1</v>
      </c>
      <c r="L78">
        <v>0</v>
      </c>
      <c r="M78">
        <v>0</v>
      </c>
    </row>
    <row r="79" spans="1:13">
      <c r="A79" s="1">
        <f>HYPERLINK("https://lsnyc.legalserver.org/matter/dynamic-profile/view/1867720","18-1867720")</f>
        <v>0</v>
      </c>
      <c r="B79" t="s">
        <v>13</v>
      </c>
      <c r="C79" t="s">
        <v>69</v>
      </c>
      <c r="D79" t="s">
        <v>769</v>
      </c>
      <c r="E79" t="s">
        <v>1489</v>
      </c>
      <c r="F79" t="s">
        <v>2090</v>
      </c>
      <c r="G79">
        <v>10301</v>
      </c>
      <c r="K79">
        <v>2</v>
      </c>
      <c r="L79">
        <v>0</v>
      </c>
      <c r="M79">
        <v>0</v>
      </c>
    </row>
    <row r="80" spans="1:13">
      <c r="A80" s="1">
        <f>HYPERLINK("https://lsnyc.legalserver.org/matter/dynamic-profile/view/1856449","18-1856449")</f>
        <v>0</v>
      </c>
      <c r="B80" t="s">
        <v>13</v>
      </c>
      <c r="C80" t="s">
        <v>70</v>
      </c>
      <c r="D80" t="s">
        <v>64</v>
      </c>
      <c r="E80" t="s">
        <v>1490</v>
      </c>
      <c r="F80" t="s">
        <v>2091</v>
      </c>
      <c r="G80">
        <v>11208</v>
      </c>
      <c r="K80">
        <v>1</v>
      </c>
      <c r="L80">
        <v>0</v>
      </c>
      <c r="M80">
        <v>0</v>
      </c>
    </row>
    <row r="81" spans="1:13">
      <c r="A81" s="1">
        <f>HYPERLINK("https://lsnyc.legalserver.org/matter/dynamic-profile/view/0822915","16-0822915")</f>
        <v>0</v>
      </c>
      <c r="B81" t="s">
        <v>13</v>
      </c>
      <c r="C81" t="s">
        <v>71</v>
      </c>
      <c r="D81" t="s">
        <v>770</v>
      </c>
      <c r="E81" t="s">
        <v>1491</v>
      </c>
      <c r="F81" t="s">
        <v>2091</v>
      </c>
      <c r="G81">
        <v>11208</v>
      </c>
      <c r="K81">
        <v>1</v>
      </c>
      <c r="L81">
        <v>0</v>
      </c>
      <c r="M81">
        <v>0</v>
      </c>
    </row>
    <row r="82" spans="1:13">
      <c r="A82" s="1">
        <f>HYPERLINK("https://lsnyc.legalserver.org/matter/dynamic-profile/view/1834942","17-1834942")</f>
        <v>0</v>
      </c>
      <c r="B82" t="s">
        <v>13</v>
      </c>
      <c r="C82" t="s">
        <v>72</v>
      </c>
      <c r="D82" t="s">
        <v>771</v>
      </c>
      <c r="E82" t="s">
        <v>1492</v>
      </c>
      <c r="F82" t="s">
        <v>2091</v>
      </c>
      <c r="G82">
        <v>11229</v>
      </c>
      <c r="K82">
        <v>1</v>
      </c>
      <c r="L82">
        <v>0</v>
      </c>
      <c r="M82">
        <v>0</v>
      </c>
    </row>
    <row r="83" spans="1:13">
      <c r="A83" s="1">
        <f>HYPERLINK("https://lsnyc.legalserver.org/matter/dynamic-profile/view/1867612","18-1867612")</f>
        <v>0</v>
      </c>
      <c r="B83" t="s">
        <v>13</v>
      </c>
      <c r="C83" t="s">
        <v>73</v>
      </c>
      <c r="D83" t="s">
        <v>772</v>
      </c>
      <c r="E83" t="s">
        <v>1493</v>
      </c>
      <c r="F83" t="s">
        <v>2090</v>
      </c>
      <c r="G83">
        <v>10301</v>
      </c>
      <c r="K83">
        <v>1</v>
      </c>
      <c r="L83">
        <v>0</v>
      </c>
      <c r="M83">
        <v>0</v>
      </c>
    </row>
    <row r="84" spans="1:13">
      <c r="A84" s="1">
        <f>HYPERLINK("https://lsnyc.legalserver.org/matter/dynamic-profile/view/1851526","17-1851526")</f>
        <v>0</v>
      </c>
      <c r="B84" t="s">
        <v>13</v>
      </c>
      <c r="C84" t="s">
        <v>74</v>
      </c>
      <c r="D84" t="s">
        <v>773</v>
      </c>
      <c r="E84" t="s">
        <v>1494</v>
      </c>
      <c r="F84" t="s">
        <v>2093</v>
      </c>
      <c r="G84">
        <v>10034</v>
      </c>
      <c r="K84">
        <v>1</v>
      </c>
      <c r="L84">
        <v>0</v>
      </c>
      <c r="M84">
        <v>0</v>
      </c>
    </row>
    <row r="85" spans="1:13">
      <c r="A85" s="1">
        <f>HYPERLINK("https://lsnyc.legalserver.org/matter/dynamic-profile/view/1849982","17-1849982")</f>
        <v>0</v>
      </c>
      <c r="B85" t="s">
        <v>13</v>
      </c>
      <c r="C85" t="s">
        <v>30</v>
      </c>
      <c r="D85" t="s">
        <v>728</v>
      </c>
      <c r="E85" t="s">
        <v>1452</v>
      </c>
      <c r="F85" t="s">
        <v>2090</v>
      </c>
      <c r="G85">
        <v>10304</v>
      </c>
      <c r="K85">
        <v>2</v>
      </c>
      <c r="L85">
        <v>0</v>
      </c>
      <c r="M85">
        <v>0</v>
      </c>
    </row>
    <row r="86" spans="1:13">
      <c r="A86" s="1">
        <f>HYPERLINK("https://lsnyc.legalserver.org/matter/dynamic-profile/view/1833440","17-1833440")</f>
        <v>0</v>
      </c>
      <c r="B86" t="s">
        <v>13</v>
      </c>
      <c r="C86" t="s">
        <v>75</v>
      </c>
      <c r="D86" t="s">
        <v>774</v>
      </c>
      <c r="E86" t="s">
        <v>1495</v>
      </c>
      <c r="F86" t="s">
        <v>2093</v>
      </c>
      <c r="G86">
        <v>10029</v>
      </c>
      <c r="K86">
        <v>1</v>
      </c>
      <c r="L86">
        <v>0</v>
      </c>
      <c r="M86">
        <v>0</v>
      </c>
    </row>
    <row r="87" spans="1:13">
      <c r="A87" s="1">
        <f>HYPERLINK("https://lsnyc.legalserver.org/matter/dynamic-profile/view/1835400","17-1835400")</f>
        <v>0</v>
      </c>
      <c r="B87" t="s">
        <v>14</v>
      </c>
      <c r="C87" t="s">
        <v>76</v>
      </c>
      <c r="D87" t="s">
        <v>775</v>
      </c>
      <c r="E87" t="s">
        <v>1496</v>
      </c>
      <c r="F87" t="s">
        <v>2093</v>
      </c>
      <c r="G87">
        <v>10031</v>
      </c>
      <c r="K87">
        <v>1</v>
      </c>
      <c r="L87">
        <v>0</v>
      </c>
      <c r="M87">
        <v>0</v>
      </c>
    </row>
    <row r="88" spans="1:13">
      <c r="A88" s="1">
        <f>HYPERLINK("https://lsnyc.legalserver.org/matter/dynamic-profile/view/1845790","17-1845790")</f>
        <v>0</v>
      </c>
      <c r="B88" t="s">
        <v>13</v>
      </c>
      <c r="C88" t="s">
        <v>77</v>
      </c>
      <c r="D88" t="s">
        <v>776</v>
      </c>
      <c r="E88" t="s">
        <v>1497</v>
      </c>
      <c r="F88" t="s">
        <v>2091</v>
      </c>
      <c r="G88">
        <v>11207</v>
      </c>
      <c r="K88">
        <v>1</v>
      </c>
      <c r="L88">
        <v>0</v>
      </c>
      <c r="M88">
        <v>0</v>
      </c>
    </row>
    <row r="89" spans="1:13">
      <c r="A89" s="1">
        <f>HYPERLINK("https://lsnyc.legalserver.org/matter/dynamic-profile/view/1833608","17-1833608")</f>
        <v>0</v>
      </c>
      <c r="B89" t="s">
        <v>13</v>
      </c>
      <c r="C89" t="s">
        <v>78</v>
      </c>
      <c r="D89" t="s">
        <v>777</v>
      </c>
      <c r="E89" t="s">
        <v>1498</v>
      </c>
      <c r="F89" t="s">
        <v>2093</v>
      </c>
      <c r="G89">
        <v>10027</v>
      </c>
      <c r="K89">
        <v>2</v>
      </c>
      <c r="L89">
        <v>0</v>
      </c>
      <c r="M89">
        <v>0</v>
      </c>
    </row>
    <row r="90" spans="1:13">
      <c r="A90" s="1">
        <f>HYPERLINK("https://lsnyc.legalserver.org/matter/dynamic-profile/view/1858044","18-1858044")</f>
        <v>0</v>
      </c>
      <c r="B90" t="s">
        <v>13</v>
      </c>
      <c r="C90" t="s">
        <v>79</v>
      </c>
      <c r="D90" t="s">
        <v>778</v>
      </c>
      <c r="E90" t="s">
        <v>1499</v>
      </c>
      <c r="F90" t="s">
        <v>2091</v>
      </c>
      <c r="G90">
        <v>11208</v>
      </c>
      <c r="K90">
        <v>1</v>
      </c>
      <c r="L90">
        <v>0</v>
      </c>
      <c r="M90">
        <v>0</v>
      </c>
    </row>
    <row r="91" spans="1:13">
      <c r="A91" s="1">
        <f>HYPERLINK("https://lsnyc.legalserver.org/matter/dynamic-profile/view/1866295","18-1866295")</f>
        <v>0</v>
      </c>
      <c r="B91" t="s">
        <v>13</v>
      </c>
      <c r="C91" t="s">
        <v>80</v>
      </c>
      <c r="D91" t="s">
        <v>779</v>
      </c>
      <c r="E91" t="s">
        <v>1500</v>
      </c>
      <c r="F91" t="s">
        <v>2092</v>
      </c>
      <c r="G91">
        <v>11355</v>
      </c>
      <c r="K91">
        <v>1</v>
      </c>
      <c r="L91">
        <v>0</v>
      </c>
      <c r="M91">
        <v>0</v>
      </c>
    </row>
    <row r="92" spans="1:13">
      <c r="A92" s="1">
        <f>HYPERLINK("https://lsnyc.legalserver.org/matter/dynamic-profile/view/1859653","18-1859653")</f>
        <v>0</v>
      </c>
      <c r="B92" t="s">
        <v>13</v>
      </c>
      <c r="C92" t="s">
        <v>81</v>
      </c>
      <c r="D92" t="s">
        <v>780</v>
      </c>
      <c r="E92" t="s">
        <v>1501</v>
      </c>
      <c r="F92" t="s">
        <v>2092</v>
      </c>
      <c r="G92">
        <v>11358</v>
      </c>
      <c r="K92">
        <v>1</v>
      </c>
      <c r="L92">
        <v>0</v>
      </c>
      <c r="M92">
        <v>0</v>
      </c>
    </row>
    <row r="93" spans="1:13">
      <c r="A93" s="1">
        <f>HYPERLINK("https://lsnyc.legalserver.org/matter/dynamic-profile/view/1867762","18-1867762")</f>
        <v>0</v>
      </c>
      <c r="B93" t="s">
        <v>13</v>
      </c>
      <c r="C93" t="s">
        <v>82</v>
      </c>
      <c r="D93" t="s">
        <v>781</v>
      </c>
      <c r="E93" t="s">
        <v>1502</v>
      </c>
      <c r="F93" t="s">
        <v>2096</v>
      </c>
      <c r="G93">
        <v>11414</v>
      </c>
      <c r="K93">
        <v>1</v>
      </c>
      <c r="L93">
        <v>0</v>
      </c>
      <c r="M93">
        <v>0</v>
      </c>
    </row>
    <row r="94" spans="1:13">
      <c r="A94" s="1">
        <f>HYPERLINK("https://lsnyc.legalserver.org/matter/dynamic-profile/view/1886893","19-1886893")</f>
        <v>0</v>
      </c>
      <c r="B94" t="s">
        <v>13</v>
      </c>
      <c r="C94" t="s">
        <v>35</v>
      </c>
      <c r="D94" t="s">
        <v>782</v>
      </c>
      <c r="E94" t="s">
        <v>1503</v>
      </c>
      <c r="F94" t="s">
        <v>2093</v>
      </c>
      <c r="G94">
        <v>10029</v>
      </c>
      <c r="K94">
        <v>1</v>
      </c>
      <c r="L94">
        <v>0</v>
      </c>
      <c r="M94">
        <v>0</v>
      </c>
    </row>
    <row r="95" spans="1:13">
      <c r="A95" s="1">
        <f>HYPERLINK("https://lsnyc.legalserver.org/matter/dynamic-profile/view/0819952","16-0819952")</f>
        <v>0</v>
      </c>
      <c r="B95" t="s">
        <v>13</v>
      </c>
      <c r="C95" t="s">
        <v>39</v>
      </c>
      <c r="D95" t="s">
        <v>738</v>
      </c>
      <c r="E95" t="s">
        <v>1460</v>
      </c>
      <c r="F95" t="s">
        <v>2089</v>
      </c>
      <c r="G95">
        <v>10453</v>
      </c>
      <c r="K95">
        <v>2</v>
      </c>
      <c r="L95">
        <v>0</v>
      </c>
      <c r="M95">
        <v>0</v>
      </c>
    </row>
    <row r="96" spans="1:13">
      <c r="A96" s="1">
        <f>HYPERLINK("https://lsnyc.legalserver.org/matter/dynamic-profile/view/0820078","16-0820078")</f>
        <v>0</v>
      </c>
      <c r="B96" t="s">
        <v>13</v>
      </c>
      <c r="C96" t="s">
        <v>40</v>
      </c>
      <c r="D96" t="s">
        <v>739</v>
      </c>
      <c r="E96" t="s">
        <v>1460</v>
      </c>
      <c r="F96" t="s">
        <v>2089</v>
      </c>
      <c r="G96">
        <v>10453</v>
      </c>
      <c r="K96">
        <v>5</v>
      </c>
      <c r="L96">
        <v>0</v>
      </c>
      <c r="M96">
        <v>0</v>
      </c>
    </row>
    <row r="97" spans="1:13">
      <c r="A97" s="1">
        <f>HYPERLINK("https://lsnyc.legalserver.org/matter/dynamic-profile/view/0825888","17-0825888")</f>
        <v>0</v>
      </c>
      <c r="B97" t="s">
        <v>13</v>
      </c>
      <c r="C97" t="s">
        <v>83</v>
      </c>
      <c r="D97" t="s">
        <v>783</v>
      </c>
      <c r="E97" t="s">
        <v>1504</v>
      </c>
      <c r="F97" t="s">
        <v>2093</v>
      </c>
      <c r="G97">
        <v>10025</v>
      </c>
      <c r="K97">
        <v>2</v>
      </c>
      <c r="L97">
        <v>0</v>
      </c>
      <c r="M97">
        <v>0</v>
      </c>
    </row>
    <row r="98" spans="1:13">
      <c r="A98" s="1">
        <f>HYPERLINK("https://lsnyc.legalserver.org/matter/dynamic-profile/view/1856466","18-1856466")</f>
        <v>0</v>
      </c>
      <c r="B98" t="s">
        <v>13</v>
      </c>
      <c r="C98" t="s">
        <v>70</v>
      </c>
      <c r="D98" t="s">
        <v>64</v>
      </c>
      <c r="E98" t="s">
        <v>1490</v>
      </c>
      <c r="F98" t="s">
        <v>2091</v>
      </c>
      <c r="G98">
        <v>11208</v>
      </c>
      <c r="K98">
        <v>1</v>
      </c>
      <c r="L98">
        <v>0</v>
      </c>
      <c r="M98">
        <v>0</v>
      </c>
    </row>
    <row r="99" spans="1:13">
      <c r="A99" s="1">
        <f>HYPERLINK("https://lsnyc.legalserver.org/matter/dynamic-profile/view/0827563","17-0827563")</f>
        <v>0</v>
      </c>
      <c r="B99" t="s">
        <v>13</v>
      </c>
      <c r="C99" t="s">
        <v>84</v>
      </c>
      <c r="D99" t="s">
        <v>784</v>
      </c>
      <c r="E99" t="s">
        <v>1505</v>
      </c>
      <c r="F99" t="s">
        <v>2093</v>
      </c>
      <c r="G99">
        <v>10065</v>
      </c>
      <c r="K99">
        <v>1</v>
      </c>
      <c r="L99">
        <v>0</v>
      </c>
      <c r="M99">
        <v>0</v>
      </c>
    </row>
    <row r="100" spans="1:13">
      <c r="A100" s="1">
        <f>HYPERLINK("https://lsnyc.legalserver.org/matter/dynamic-profile/view/1866117","18-1866117")</f>
        <v>0</v>
      </c>
      <c r="B100" t="s">
        <v>13</v>
      </c>
      <c r="C100" t="s">
        <v>85</v>
      </c>
      <c r="D100" t="s">
        <v>785</v>
      </c>
      <c r="E100" t="s">
        <v>1506</v>
      </c>
      <c r="F100" t="s">
        <v>2091</v>
      </c>
      <c r="G100">
        <v>11212</v>
      </c>
      <c r="K100">
        <v>1</v>
      </c>
      <c r="L100">
        <v>0</v>
      </c>
      <c r="M100">
        <v>0</v>
      </c>
    </row>
    <row r="101" spans="1:13">
      <c r="A101" s="1">
        <f>HYPERLINK("https://lsnyc.legalserver.org/matter/dynamic-profile/view/1842321","17-1842321")</f>
        <v>0</v>
      </c>
      <c r="B101" t="s">
        <v>13</v>
      </c>
      <c r="C101" t="s">
        <v>86</v>
      </c>
      <c r="D101" t="s">
        <v>786</v>
      </c>
      <c r="E101" t="s">
        <v>1507</v>
      </c>
      <c r="F101" t="s">
        <v>2093</v>
      </c>
      <c r="G101">
        <v>10034</v>
      </c>
      <c r="K101">
        <v>2</v>
      </c>
      <c r="L101">
        <v>0</v>
      </c>
      <c r="M101">
        <v>0</v>
      </c>
    </row>
    <row r="102" spans="1:13">
      <c r="A102" s="1">
        <f>HYPERLINK("https://lsnyc.legalserver.org/matter/dynamic-profile/view/1853440","17-1853440")</f>
        <v>0</v>
      </c>
      <c r="B102" t="s">
        <v>13</v>
      </c>
      <c r="C102" t="s">
        <v>87</v>
      </c>
      <c r="D102" t="s">
        <v>787</v>
      </c>
      <c r="E102" t="s">
        <v>1508</v>
      </c>
      <c r="F102" t="s">
        <v>2091</v>
      </c>
      <c r="G102">
        <v>11239</v>
      </c>
      <c r="K102">
        <v>3</v>
      </c>
      <c r="L102">
        <v>0</v>
      </c>
      <c r="M102">
        <v>0</v>
      </c>
    </row>
    <row r="103" spans="1:13">
      <c r="A103" s="1">
        <f>HYPERLINK("https://lsnyc.legalserver.org/matter/dynamic-profile/view/1868973","18-1868973")</f>
        <v>0</v>
      </c>
      <c r="B103" t="s">
        <v>14</v>
      </c>
      <c r="C103" t="s">
        <v>88</v>
      </c>
      <c r="D103" t="s">
        <v>788</v>
      </c>
      <c r="E103" t="s">
        <v>1509</v>
      </c>
      <c r="F103" t="s">
        <v>2097</v>
      </c>
      <c r="G103">
        <v>11420</v>
      </c>
      <c r="K103">
        <v>1</v>
      </c>
      <c r="L103">
        <v>0</v>
      </c>
      <c r="M103">
        <v>0</v>
      </c>
    </row>
    <row r="104" spans="1:13">
      <c r="A104" s="1">
        <f>HYPERLINK("https://lsnyc.legalserver.org/matter/dynamic-profile/view/1838614","17-1838614")</f>
        <v>0</v>
      </c>
      <c r="B104" t="s">
        <v>13</v>
      </c>
      <c r="C104" t="s">
        <v>89</v>
      </c>
      <c r="D104" t="s">
        <v>789</v>
      </c>
      <c r="E104" t="s">
        <v>1510</v>
      </c>
      <c r="F104" t="s">
        <v>2091</v>
      </c>
      <c r="G104">
        <v>11207</v>
      </c>
      <c r="K104">
        <v>1</v>
      </c>
      <c r="L104">
        <v>0</v>
      </c>
      <c r="M104">
        <v>0</v>
      </c>
    </row>
    <row r="105" spans="1:13">
      <c r="A105" s="1">
        <f>HYPERLINK("https://lsnyc.legalserver.org/matter/dynamic-profile/view/1869273","18-1869273")</f>
        <v>0</v>
      </c>
      <c r="B105" t="s">
        <v>13</v>
      </c>
      <c r="C105" t="s">
        <v>90</v>
      </c>
      <c r="D105" t="s">
        <v>790</v>
      </c>
      <c r="E105" t="s">
        <v>1511</v>
      </c>
      <c r="F105" t="s">
        <v>2089</v>
      </c>
      <c r="G105">
        <v>10452</v>
      </c>
      <c r="K105">
        <v>1</v>
      </c>
      <c r="L105">
        <v>0</v>
      </c>
      <c r="M105">
        <v>0</v>
      </c>
    </row>
    <row r="106" spans="1:13">
      <c r="A106" s="1">
        <f>HYPERLINK("https://lsnyc.legalserver.org/matter/dynamic-profile/view/1864155","18-1864155")</f>
        <v>0</v>
      </c>
      <c r="B106" t="s">
        <v>13</v>
      </c>
      <c r="C106" t="s">
        <v>15</v>
      </c>
      <c r="D106" t="s">
        <v>791</v>
      </c>
      <c r="E106" t="s">
        <v>1512</v>
      </c>
      <c r="F106" t="s">
        <v>2093</v>
      </c>
      <c r="G106">
        <v>10029</v>
      </c>
      <c r="K106">
        <v>1</v>
      </c>
      <c r="L106">
        <v>0</v>
      </c>
      <c r="M106">
        <v>0</v>
      </c>
    </row>
    <row r="107" spans="1:13">
      <c r="A107" s="1">
        <f>HYPERLINK("https://lsnyc.legalserver.org/matter/dynamic-profile/view/1864324","18-1864324")</f>
        <v>0</v>
      </c>
      <c r="B107" t="s">
        <v>13</v>
      </c>
      <c r="C107" t="s">
        <v>39</v>
      </c>
      <c r="D107" t="s">
        <v>792</v>
      </c>
      <c r="E107" t="s">
        <v>1512</v>
      </c>
      <c r="F107" t="s">
        <v>2093</v>
      </c>
      <c r="G107">
        <v>10029</v>
      </c>
      <c r="K107">
        <v>1</v>
      </c>
      <c r="L107">
        <v>0</v>
      </c>
      <c r="M107">
        <v>0</v>
      </c>
    </row>
    <row r="108" spans="1:13">
      <c r="A108" s="1">
        <f>HYPERLINK("https://lsnyc.legalserver.org/matter/dynamic-profile/view/1864342","18-1864342")</f>
        <v>0</v>
      </c>
      <c r="B108" t="s">
        <v>13</v>
      </c>
      <c r="C108" t="s">
        <v>91</v>
      </c>
      <c r="D108" t="s">
        <v>793</v>
      </c>
      <c r="E108" t="s">
        <v>1512</v>
      </c>
      <c r="F108" t="s">
        <v>2093</v>
      </c>
      <c r="G108">
        <v>10029</v>
      </c>
      <c r="K108">
        <v>1</v>
      </c>
      <c r="L108">
        <v>0</v>
      </c>
      <c r="M108">
        <v>0</v>
      </c>
    </row>
    <row r="109" spans="1:13">
      <c r="A109" s="1">
        <f>HYPERLINK("https://lsnyc.legalserver.org/matter/dynamic-profile/view/1852535","17-1852535")</f>
        <v>0</v>
      </c>
      <c r="B109" t="s">
        <v>13</v>
      </c>
      <c r="C109" t="s">
        <v>92</v>
      </c>
      <c r="D109" t="s">
        <v>794</v>
      </c>
      <c r="E109" t="s">
        <v>1513</v>
      </c>
      <c r="F109" t="s">
        <v>2091</v>
      </c>
      <c r="G109">
        <v>11208</v>
      </c>
      <c r="K109">
        <v>1</v>
      </c>
      <c r="L109">
        <v>0</v>
      </c>
      <c r="M109">
        <v>0</v>
      </c>
    </row>
    <row r="110" spans="1:13">
      <c r="A110" s="1">
        <f>HYPERLINK("https://lsnyc.legalserver.org/matter/dynamic-profile/view/0812965","16-0812965")</f>
        <v>0</v>
      </c>
      <c r="B110" t="s">
        <v>13</v>
      </c>
      <c r="C110" t="s">
        <v>93</v>
      </c>
      <c r="D110" t="s">
        <v>795</v>
      </c>
      <c r="E110" t="s">
        <v>1514</v>
      </c>
      <c r="F110" t="s">
        <v>2090</v>
      </c>
      <c r="G110">
        <v>10304</v>
      </c>
      <c r="K110">
        <v>1</v>
      </c>
      <c r="L110">
        <v>0</v>
      </c>
      <c r="M110">
        <v>0</v>
      </c>
    </row>
    <row r="111" spans="1:13">
      <c r="A111" s="1">
        <f>HYPERLINK("https://lsnyc.legalserver.org/matter/dynamic-profile/view/1851961","17-1851961")</f>
        <v>0</v>
      </c>
      <c r="B111" t="s">
        <v>13</v>
      </c>
      <c r="C111" t="s">
        <v>94</v>
      </c>
      <c r="D111" t="s">
        <v>796</v>
      </c>
      <c r="E111" t="s">
        <v>1515</v>
      </c>
      <c r="F111" t="s">
        <v>2091</v>
      </c>
      <c r="G111">
        <v>11233</v>
      </c>
      <c r="K111">
        <v>1</v>
      </c>
      <c r="L111">
        <v>0</v>
      </c>
      <c r="M111">
        <v>0</v>
      </c>
    </row>
    <row r="112" spans="1:13">
      <c r="A112" s="1">
        <f>HYPERLINK("https://lsnyc.legalserver.org/matter/dynamic-profile/view/0820605","16-0820605")</f>
        <v>0</v>
      </c>
      <c r="B112" t="s">
        <v>13</v>
      </c>
      <c r="C112" t="s">
        <v>95</v>
      </c>
      <c r="D112" t="s">
        <v>797</v>
      </c>
      <c r="E112" t="s">
        <v>1453</v>
      </c>
      <c r="F112" t="s">
        <v>2089</v>
      </c>
      <c r="G112">
        <v>10452</v>
      </c>
      <c r="K112">
        <v>1</v>
      </c>
      <c r="L112">
        <v>0</v>
      </c>
      <c r="M112">
        <v>0.8100000000000001</v>
      </c>
    </row>
    <row r="113" spans="1:13">
      <c r="A113" s="1">
        <f>HYPERLINK("https://lsnyc.legalserver.org/matter/dynamic-profile/view/0822385","16-0822385")</f>
        <v>0</v>
      </c>
      <c r="B113" t="s">
        <v>13</v>
      </c>
      <c r="C113" t="s">
        <v>96</v>
      </c>
      <c r="D113" t="s">
        <v>798</v>
      </c>
      <c r="E113" t="s">
        <v>1460</v>
      </c>
      <c r="F113" t="s">
        <v>2089</v>
      </c>
      <c r="G113">
        <v>10453</v>
      </c>
      <c r="K113">
        <v>1</v>
      </c>
      <c r="L113">
        <v>0</v>
      </c>
      <c r="M113">
        <v>1.18</v>
      </c>
    </row>
    <row r="114" spans="1:13">
      <c r="A114" s="1">
        <f>HYPERLINK("https://lsnyc.legalserver.org/matter/dynamic-profile/view/0826157","17-0826157")</f>
        <v>0</v>
      </c>
      <c r="B114" t="s">
        <v>13</v>
      </c>
      <c r="C114" t="s">
        <v>97</v>
      </c>
      <c r="D114" t="s">
        <v>799</v>
      </c>
      <c r="E114" t="s">
        <v>1516</v>
      </c>
      <c r="F114" t="s">
        <v>2091</v>
      </c>
      <c r="G114">
        <v>11212</v>
      </c>
      <c r="K114">
        <v>2</v>
      </c>
      <c r="L114">
        <v>0</v>
      </c>
      <c r="M114">
        <v>2.81</v>
      </c>
    </row>
    <row r="115" spans="1:13">
      <c r="A115" s="1">
        <f>HYPERLINK("https://lsnyc.legalserver.org/matter/dynamic-profile/view/0815928","16-0815928")</f>
        <v>0</v>
      </c>
      <c r="B115" t="s">
        <v>13</v>
      </c>
      <c r="C115" t="s">
        <v>98</v>
      </c>
      <c r="D115" t="s">
        <v>781</v>
      </c>
      <c r="E115" t="s">
        <v>1517</v>
      </c>
      <c r="F115" t="s">
        <v>2091</v>
      </c>
      <c r="G115">
        <v>11215</v>
      </c>
      <c r="K115">
        <v>3</v>
      </c>
      <c r="L115">
        <v>0</v>
      </c>
      <c r="M115">
        <v>3.41</v>
      </c>
    </row>
    <row r="116" spans="1:13">
      <c r="A116" s="1">
        <f>HYPERLINK("https://lsnyc.legalserver.org/matter/dynamic-profile/view/1863716","18-1863716")</f>
        <v>0</v>
      </c>
      <c r="B116" t="s">
        <v>13</v>
      </c>
      <c r="C116" t="s">
        <v>99</v>
      </c>
      <c r="D116" t="s">
        <v>800</v>
      </c>
      <c r="E116" t="s">
        <v>1518</v>
      </c>
      <c r="F116" t="s">
        <v>2089</v>
      </c>
      <c r="G116">
        <v>10453</v>
      </c>
      <c r="K116">
        <v>2</v>
      </c>
      <c r="L116">
        <v>0</v>
      </c>
      <c r="M116">
        <v>3.65</v>
      </c>
    </row>
    <row r="117" spans="1:13">
      <c r="A117" s="1">
        <f>HYPERLINK("https://lsnyc.legalserver.org/matter/dynamic-profile/view/0822111","16-0822111")</f>
        <v>0</v>
      </c>
      <c r="B117" t="s">
        <v>13</v>
      </c>
      <c r="C117" t="s">
        <v>100</v>
      </c>
      <c r="D117" t="s">
        <v>801</v>
      </c>
      <c r="E117" t="s">
        <v>1471</v>
      </c>
      <c r="F117" t="s">
        <v>2089</v>
      </c>
      <c r="G117">
        <v>10452</v>
      </c>
      <c r="K117">
        <v>2</v>
      </c>
      <c r="L117">
        <v>0</v>
      </c>
      <c r="M117">
        <v>4.19</v>
      </c>
    </row>
    <row r="118" spans="1:13">
      <c r="A118" s="1">
        <f>HYPERLINK("https://lsnyc.legalserver.org/matter/dynamic-profile/view/1848381","17-1848381")</f>
        <v>0</v>
      </c>
      <c r="B118" t="s">
        <v>13</v>
      </c>
      <c r="C118" t="s">
        <v>101</v>
      </c>
      <c r="D118" t="s">
        <v>802</v>
      </c>
      <c r="E118" t="s">
        <v>1519</v>
      </c>
      <c r="F118" t="s">
        <v>2089</v>
      </c>
      <c r="G118">
        <v>10457</v>
      </c>
      <c r="K118">
        <v>1</v>
      </c>
      <c r="L118">
        <v>0</v>
      </c>
      <c r="M118">
        <v>5.52</v>
      </c>
    </row>
    <row r="119" spans="1:13">
      <c r="A119" s="1">
        <f>HYPERLINK("https://lsnyc.legalserver.org/matter/dynamic-profile/view/1859908","18-1859908")</f>
        <v>0</v>
      </c>
      <c r="B119" t="s">
        <v>13</v>
      </c>
      <c r="C119" t="s">
        <v>102</v>
      </c>
      <c r="D119" t="s">
        <v>803</v>
      </c>
      <c r="E119" t="s">
        <v>1520</v>
      </c>
      <c r="F119" t="s">
        <v>2091</v>
      </c>
      <c r="G119">
        <v>11233</v>
      </c>
      <c r="K119">
        <v>1</v>
      </c>
      <c r="L119">
        <v>0</v>
      </c>
      <c r="M119">
        <v>5.77</v>
      </c>
    </row>
    <row r="120" spans="1:13">
      <c r="A120" s="1">
        <f>HYPERLINK("https://lsnyc.legalserver.org/matter/dynamic-profile/view/1836766","17-1836766")</f>
        <v>0</v>
      </c>
      <c r="B120" t="s">
        <v>13</v>
      </c>
      <c r="C120" t="s">
        <v>103</v>
      </c>
      <c r="D120" t="s">
        <v>804</v>
      </c>
      <c r="E120" t="s">
        <v>1521</v>
      </c>
      <c r="F120" t="s">
        <v>2089</v>
      </c>
      <c r="G120">
        <v>10463</v>
      </c>
      <c r="K120">
        <v>1</v>
      </c>
      <c r="L120">
        <v>0</v>
      </c>
      <c r="M120">
        <v>5.8</v>
      </c>
    </row>
    <row r="121" spans="1:13">
      <c r="A121" s="1">
        <f>HYPERLINK("https://lsnyc.legalserver.org/matter/dynamic-profile/view/1851825","17-1851825")</f>
        <v>0</v>
      </c>
      <c r="B121" t="s">
        <v>13</v>
      </c>
      <c r="C121" t="s">
        <v>104</v>
      </c>
      <c r="D121" t="s">
        <v>805</v>
      </c>
      <c r="E121" t="s">
        <v>1454</v>
      </c>
      <c r="F121" t="s">
        <v>2089</v>
      </c>
      <c r="G121">
        <v>10468</v>
      </c>
      <c r="K121">
        <v>2</v>
      </c>
      <c r="L121">
        <v>0</v>
      </c>
      <c r="M121">
        <v>6.5</v>
      </c>
    </row>
    <row r="122" spans="1:13">
      <c r="A122" s="1">
        <f>HYPERLINK("https://lsnyc.legalserver.org/matter/dynamic-profile/view/1864988","18-1864988")</f>
        <v>0</v>
      </c>
      <c r="B122" t="s">
        <v>13</v>
      </c>
      <c r="C122" t="s">
        <v>105</v>
      </c>
      <c r="D122" t="s">
        <v>806</v>
      </c>
      <c r="E122" t="s">
        <v>1438</v>
      </c>
      <c r="F122" t="s">
        <v>2089</v>
      </c>
      <c r="G122">
        <v>10453</v>
      </c>
      <c r="K122">
        <v>1</v>
      </c>
      <c r="L122">
        <v>0</v>
      </c>
      <c r="M122">
        <v>6.92</v>
      </c>
    </row>
    <row r="123" spans="1:13">
      <c r="A123" s="1">
        <f>HYPERLINK("https://lsnyc.legalserver.org/matter/dynamic-profile/view/1858729","18-1858729")</f>
        <v>0</v>
      </c>
      <c r="B123" t="s">
        <v>13</v>
      </c>
      <c r="C123" t="s">
        <v>106</v>
      </c>
      <c r="D123" t="s">
        <v>807</v>
      </c>
      <c r="E123" t="s">
        <v>1455</v>
      </c>
      <c r="F123" t="s">
        <v>2091</v>
      </c>
      <c r="G123">
        <v>11203</v>
      </c>
      <c r="K123">
        <v>2</v>
      </c>
      <c r="L123">
        <v>0</v>
      </c>
      <c r="M123">
        <v>7.39</v>
      </c>
    </row>
    <row r="124" spans="1:13">
      <c r="A124" s="1">
        <f>HYPERLINK("https://lsnyc.legalserver.org/matter/dynamic-profile/view/1860066","18-1860066")</f>
        <v>0</v>
      </c>
      <c r="B124" t="s">
        <v>13</v>
      </c>
      <c r="C124" t="s">
        <v>106</v>
      </c>
      <c r="D124" t="s">
        <v>807</v>
      </c>
      <c r="E124" t="s">
        <v>1455</v>
      </c>
      <c r="F124" t="s">
        <v>2091</v>
      </c>
      <c r="G124">
        <v>11203</v>
      </c>
      <c r="K124">
        <v>2</v>
      </c>
      <c r="L124">
        <v>0</v>
      </c>
      <c r="M124">
        <v>7.39</v>
      </c>
    </row>
    <row r="125" spans="1:13">
      <c r="A125" s="1">
        <f>HYPERLINK("https://lsnyc.legalserver.org/matter/dynamic-profile/view/1844798","17-1844798")</f>
        <v>0</v>
      </c>
      <c r="B125" t="s">
        <v>13</v>
      </c>
      <c r="C125" t="s">
        <v>107</v>
      </c>
      <c r="D125" t="s">
        <v>808</v>
      </c>
      <c r="E125" t="s">
        <v>1522</v>
      </c>
      <c r="F125" t="s">
        <v>2093</v>
      </c>
      <c r="G125">
        <v>10029</v>
      </c>
      <c r="K125">
        <v>1</v>
      </c>
      <c r="L125">
        <v>0</v>
      </c>
      <c r="M125">
        <v>8.289999999999999</v>
      </c>
    </row>
    <row r="126" spans="1:13">
      <c r="A126" s="1">
        <f>HYPERLINK("https://lsnyc.legalserver.org/matter/dynamic-profile/view/1861676","18-1861676")</f>
        <v>0</v>
      </c>
      <c r="B126" t="s">
        <v>13</v>
      </c>
      <c r="C126" t="s">
        <v>108</v>
      </c>
      <c r="D126" t="s">
        <v>809</v>
      </c>
      <c r="E126" t="s">
        <v>1523</v>
      </c>
      <c r="F126" t="s">
        <v>2093</v>
      </c>
      <c r="G126">
        <v>10034</v>
      </c>
      <c r="K126">
        <v>1</v>
      </c>
      <c r="L126">
        <v>0</v>
      </c>
      <c r="M126">
        <v>9.880000000000001</v>
      </c>
    </row>
    <row r="127" spans="1:13">
      <c r="A127" s="1">
        <f>HYPERLINK("https://lsnyc.legalserver.org/matter/dynamic-profile/view/1854455","17-1854455")</f>
        <v>0</v>
      </c>
      <c r="B127" t="s">
        <v>13</v>
      </c>
      <c r="C127" t="s">
        <v>109</v>
      </c>
      <c r="D127" t="s">
        <v>810</v>
      </c>
      <c r="E127" t="s">
        <v>1460</v>
      </c>
      <c r="F127" t="s">
        <v>2089</v>
      </c>
      <c r="G127">
        <v>10453</v>
      </c>
      <c r="K127">
        <v>1</v>
      </c>
      <c r="L127">
        <v>0</v>
      </c>
      <c r="M127">
        <v>10.78</v>
      </c>
    </row>
    <row r="128" spans="1:13">
      <c r="A128" s="1">
        <f>HYPERLINK("https://lsnyc.legalserver.org/matter/dynamic-profile/view/1862083","18-1862083")</f>
        <v>0</v>
      </c>
      <c r="B128" t="s">
        <v>13</v>
      </c>
      <c r="C128" t="s">
        <v>110</v>
      </c>
      <c r="D128" t="s">
        <v>811</v>
      </c>
      <c r="E128" t="s">
        <v>1524</v>
      </c>
      <c r="F128" t="s">
        <v>2098</v>
      </c>
      <c r="G128">
        <v>11004</v>
      </c>
      <c r="K128">
        <v>1</v>
      </c>
      <c r="L128">
        <v>0</v>
      </c>
      <c r="M128">
        <v>11.07</v>
      </c>
    </row>
    <row r="129" spans="1:13">
      <c r="A129" s="1">
        <f>HYPERLINK("https://lsnyc.legalserver.org/matter/dynamic-profile/view/1834324","17-1834324")</f>
        <v>0</v>
      </c>
      <c r="B129" t="s">
        <v>14</v>
      </c>
      <c r="C129" t="s">
        <v>39</v>
      </c>
      <c r="D129" t="s">
        <v>812</v>
      </c>
      <c r="E129" t="s">
        <v>1525</v>
      </c>
      <c r="F129" t="s">
        <v>2093</v>
      </c>
      <c r="G129">
        <v>10028</v>
      </c>
      <c r="K129">
        <v>2</v>
      </c>
      <c r="L129">
        <v>0</v>
      </c>
      <c r="M129">
        <v>11.08</v>
      </c>
    </row>
    <row r="130" spans="1:13">
      <c r="A130" s="1">
        <f>HYPERLINK("https://lsnyc.legalserver.org/matter/dynamic-profile/view/0811672","16-0811672")</f>
        <v>0</v>
      </c>
      <c r="B130" t="s">
        <v>13</v>
      </c>
      <c r="C130" t="s">
        <v>111</v>
      </c>
      <c r="D130" t="s">
        <v>813</v>
      </c>
      <c r="E130" t="s">
        <v>1526</v>
      </c>
      <c r="F130" t="s">
        <v>2092</v>
      </c>
      <c r="G130">
        <v>11355</v>
      </c>
      <c r="K130">
        <v>6</v>
      </c>
      <c r="L130">
        <v>0</v>
      </c>
      <c r="M130">
        <v>11.17</v>
      </c>
    </row>
    <row r="131" spans="1:13">
      <c r="A131" s="1">
        <f>HYPERLINK("https://lsnyc.legalserver.org/matter/dynamic-profile/view/1864347","18-1864347")</f>
        <v>0</v>
      </c>
      <c r="B131" t="s">
        <v>13</v>
      </c>
      <c r="C131" t="s">
        <v>65</v>
      </c>
      <c r="D131" t="s">
        <v>18</v>
      </c>
      <c r="E131" t="s">
        <v>1484</v>
      </c>
      <c r="F131" t="s">
        <v>2090</v>
      </c>
      <c r="G131">
        <v>10301</v>
      </c>
      <c r="K131">
        <v>1</v>
      </c>
      <c r="L131">
        <v>0</v>
      </c>
      <c r="M131">
        <v>11.76</v>
      </c>
    </row>
    <row r="132" spans="1:13">
      <c r="A132" s="1">
        <f>HYPERLINK("https://lsnyc.legalserver.org/matter/dynamic-profile/view/1863844","18-1863844")</f>
        <v>0</v>
      </c>
      <c r="B132" t="s">
        <v>13</v>
      </c>
      <c r="C132" t="s">
        <v>112</v>
      </c>
      <c r="D132" t="s">
        <v>814</v>
      </c>
      <c r="E132" t="s">
        <v>1527</v>
      </c>
      <c r="F132" t="s">
        <v>2095</v>
      </c>
      <c r="G132">
        <v>11691</v>
      </c>
      <c r="K132">
        <v>2</v>
      </c>
      <c r="L132">
        <v>0</v>
      </c>
      <c r="M132">
        <v>12.39</v>
      </c>
    </row>
    <row r="133" spans="1:13">
      <c r="A133" s="1">
        <f>HYPERLINK("https://lsnyc.legalserver.org/matter/dynamic-profile/view/1860850","18-1860850")</f>
        <v>0</v>
      </c>
      <c r="B133" t="s">
        <v>13</v>
      </c>
      <c r="C133" t="s">
        <v>113</v>
      </c>
      <c r="D133" t="s">
        <v>815</v>
      </c>
      <c r="E133" t="s">
        <v>1528</v>
      </c>
      <c r="F133" t="s">
        <v>2093</v>
      </c>
      <c r="G133">
        <v>10034</v>
      </c>
      <c r="K133">
        <v>1</v>
      </c>
      <c r="L133">
        <v>0</v>
      </c>
      <c r="M133">
        <v>12.85</v>
      </c>
    </row>
    <row r="134" spans="1:13">
      <c r="A134" s="1">
        <f>HYPERLINK("https://lsnyc.legalserver.org/matter/dynamic-profile/view/1848653","17-1848653")</f>
        <v>0</v>
      </c>
      <c r="B134" t="s">
        <v>13</v>
      </c>
      <c r="C134" t="s">
        <v>114</v>
      </c>
      <c r="D134" t="s">
        <v>816</v>
      </c>
      <c r="E134" t="s">
        <v>1456</v>
      </c>
      <c r="F134" t="s">
        <v>2090</v>
      </c>
      <c r="G134">
        <v>10304</v>
      </c>
      <c r="K134">
        <v>1</v>
      </c>
      <c r="L134">
        <v>0</v>
      </c>
      <c r="M134">
        <v>13.8</v>
      </c>
    </row>
    <row r="135" spans="1:13">
      <c r="A135" s="1">
        <f>HYPERLINK("https://lsnyc.legalserver.org/matter/dynamic-profile/view/1844814","17-1844814")</f>
        <v>0</v>
      </c>
      <c r="B135" t="s">
        <v>13</v>
      </c>
      <c r="C135" t="s">
        <v>115</v>
      </c>
      <c r="D135" t="s">
        <v>817</v>
      </c>
      <c r="E135" t="s">
        <v>1529</v>
      </c>
      <c r="F135" t="s">
        <v>2091</v>
      </c>
      <c r="G135">
        <v>11213</v>
      </c>
      <c r="K135">
        <v>2</v>
      </c>
      <c r="L135">
        <v>0</v>
      </c>
      <c r="M135">
        <v>14.04</v>
      </c>
    </row>
    <row r="136" spans="1:13">
      <c r="A136" s="1">
        <f>HYPERLINK("https://lsnyc.legalserver.org/matter/dynamic-profile/view/1863428","18-1863428")</f>
        <v>0</v>
      </c>
      <c r="B136" t="s">
        <v>13</v>
      </c>
      <c r="C136" t="s">
        <v>116</v>
      </c>
      <c r="D136" t="s">
        <v>818</v>
      </c>
      <c r="E136" t="s">
        <v>1530</v>
      </c>
      <c r="F136" t="s">
        <v>2099</v>
      </c>
      <c r="G136">
        <v>11419</v>
      </c>
      <c r="K136">
        <v>3</v>
      </c>
      <c r="L136">
        <v>0</v>
      </c>
      <c r="M136">
        <v>14.09</v>
      </c>
    </row>
    <row r="137" spans="1:13">
      <c r="A137" s="1">
        <f>HYPERLINK("https://lsnyc.legalserver.org/matter/dynamic-profile/view/1834045","17-1834045")</f>
        <v>0</v>
      </c>
      <c r="B137" t="s">
        <v>13</v>
      </c>
      <c r="C137" t="s">
        <v>117</v>
      </c>
      <c r="D137" t="s">
        <v>819</v>
      </c>
      <c r="E137" t="s">
        <v>1453</v>
      </c>
      <c r="F137" t="s">
        <v>2089</v>
      </c>
      <c r="G137">
        <v>10452</v>
      </c>
      <c r="K137">
        <v>1</v>
      </c>
      <c r="L137">
        <v>0</v>
      </c>
      <c r="M137">
        <v>14.13</v>
      </c>
    </row>
    <row r="138" spans="1:13">
      <c r="A138" s="1">
        <f>HYPERLINK("https://lsnyc.legalserver.org/matter/dynamic-profile/view/1834675","17-1834675")</f>
        <v>0</v>
      </c>
      <c r="B138" t="s">
        <v>13</v>
      </c>
      <c r="C138" t="s">
        <v>117</v>
      </c>
      <c r="D138" t="s">
        <v>819</v>
      </c>
      <c r="E138" t="s">
        <v>1453</v>
      </c>
      <c r="F138" t="s">
        <v>2089</v>
      </c>
      <c r="G138">
        <v>10452</v>
      </c>
      <c r="K138">
        <v>1</v>
      </c>
      <c r="L138">
        <v>0</v>
      </c>
      <c r="M138">
        <v>14.13</v>
      </c>
    </row>
    <row r="139" spans="1:13">
      <c r="A139" s="1">
        <f>HYPERLINK("https://lsnyc.legalserver.org/matter/dynamic-profile/view/1867337","18-1867337")</f>
        <v>0</v>
      </c>
      <c r="B139" t="s">
        <v>13</v>
      </c>
      <c r="C139" t="s">
        <v>118</v>
      </c>
      <c r="D139" t="s">
        <v>64</v>
      </c>
      <c r="E139" t="s">
        <v>1531</v>
      </c>
      <c r="F139" t="s">
        <v>2090</v>
      </c>
      <c r="G139">
        <v>10304</v>
      </c>
      <c r="K139">
        <v>2</v>
      </c>
      <c r="L139">
        <v>0</v>
      </c>
      <c r="M139">
        <v>14.22</v>
      </c>
    </row>
    <row r="140" spans="1:13">
      <c r="A140" s="1">
        <f>HYPERLINK("https://lsnyc.legalserver.org/matter/dynamic-profile/view/1851391","17-1851391")</f>
        <v>0</v>
      </c>
      <c r="B140" t="s">
        <v>13</v>
      </c>
      <c r="C140" t="s">
        <v>119</v>
      </c>
      <c r="D140" t="s">
        <v>820</v>
      </c>
      <c r="E140" t="s">
        <v>1532</v>
      </c>
      <c r="F140" t="s">
        <v>2091</v>
      </c>
      <c r="G140">
        <v>11207</v>
      </c>
      <c r="K140">
        <v>1</v>
      </c>
      <c r="L140">
        <v>0</v>
      </c>
      <c r="M140">
        <v>14.23</v>
      </c>
    </row>
    <row r="141" spans="1:13">
      <c r="A141" s="1">
        <f>HYPERLINK("https://lsnyc.legalserver.org/matter/dynamic-profile/view/1845074","17-1845074")</f>
        <v>0</v>
      </c>
      <c r="B141" t="s">
        <v>13</v>
      </c>
      <c r="C141" t="s">
        <v>120</v>
      </c>
      <c r="D141" t="s">
        <v>821</v>
      </c>
      <c r="E141" t="s">
        <v>1529</v>
      </c>
      <c r="F141" t="s">
        <v>2091</v>
      </c>
      <c r="G141">
        <v>11213</v>
      </c>
      <c r="K141">
        <v>1</v>
      </c>
      <c r="L141">
        <v>0</v>
      </c>
      <c r="M141">
        <v>14.53</v>
      </c>
    </row>
    <row r="142" spans="1:13">
      <c r="A142" s="1">
        <f>HYPERLINK("https://lsnyc.legalserver.org/matter/dynamic-profile/view/1854896","17-1854896")</f>
        <v>0</v>
      </c>
      <c r="B142" t="s">
        <v>13</v>
      </c>
      <c r="C142" t="s">
        <v>113</v>
      </c>
      <c r="D142" t="s">
        <v>822</v>
      </c>
      <c r="E142" t="s">
        <v>1533</v>
      </c>
      <c r="F142" t="s">
        <v>2089</v>
      </c>
      <c r="G142">
        <v>10452</v>
      </c>
      <c r="K142">
        <v>1</v>
      </c>
      <c r="L142">
        <v>0</v>
      </c>
      <c r="M142">
        <v>14.73</v>
      </c>
    </row>
    <row r="143" spans="1:13">
      <c r="A143" s="1">
        <f>HYPERLINK("https://lsnyc.legalserver.org/matter/dynamic-profile/view/1834081","17-1834081")</f>
        <v>0</v>
      </c>
      <c r="B143" t="s">
        <v>13</v>
      </c>
      <c r="C143" t="s">
        <v>121</v>
      </c>
      <c r="D143" t="s">
        <v>823</v>
      </c>
      <c r="E143" t="s">
        <v>1534</v>
      </c>
      <c r="F143" t="s">
        <v>2091</v>
      </c>
      <c r="G143">
        <v>11210</v>
      </c>
      <c r="K143">
        <v>1</v>
      </c>
      <c r="L143">
        <v>0</v>
      </c>
      <c r="M143">
        <v>14.93</v>
      </c>
    </row>
    <row r="144" spans="1:13">
      <c r="A144" s="1">
        <f>HYPERLINK("https://lsnyc.legalserver.org/matter/dynamic-profile/view/1867183","18-1867183")</f>
        <v>0</v>
      </c>
      <c r="B144" t="s">
        <v>13</v>
      </c>
      <c r="C144" t="s">
        <v>122</v>
      </c>
      <c r="D144" t="s">
        <v>237</v>
      </c>
      <c r="E144" t="s">
        <v>1535</v>
      </c>
      <c r="F144" t="s">
        <v>2089</v>
      </c>
      <c r="G144">
        <v>10452</v>
      </c>
      <c r="K144">
        <v>1</v>
      </c>
      <c r="L144">
        <v>0</v>
      </c>
      <c r="M144">
        <v>15.02</v>
      </c>
    </row>
    <row r="145" spans="1:13">
      <c r="A145" s="1">
        <f>HYPERLINK("https://lsnyc.legalserver.org/matter/dynamic-profile/view/1861300","18-1861300")</f>
        <v>0</v>
      </c>
      <c r="B145" t="s">
        <v>13</v>
      </c>
      <c r="C145" t="s">
        <v>123</v>
      </c>
      <c r="D145" t="s">
        <v>824</v>
      </c>
      <c r="E145" t="s">
        <v>1536</v>
      </c>
      <c r="F145" t="s">
        <v>2091</v>
      </c>
      <c r="G145">
        <v>11225</v>
      </c>
      <c r="K145">
        <v>3</v>
      </c>
      <c r="L145">
        <v>0</v>
      </c>
      <c r="M145">
        <v>15.75</v>
      </c>
    </row>
    <row r="146" spans="1:13">
      <c r="A146" s="1">
        <f>HYPERLINK("https://lsnyc.legalserver.org/matter/dynamic-profile/view/0823208","16-0823208")</f>
        <v>0</v>
      </c>
      <c r="B146" t="s">
        <v>13</v>
      </c>
      <c r="C146" t="s">
        <v>123</v>
      </c>
      <c r="D146" t="s">
        <v>824</v>
      </c>
      <c r="E146" t="s">
        <v>1536</v>
      </c>
      <c r="F146" t="s">
        <v>2091</v>
      </c>
      <c r="G146">
        <v>11225</v>
      </c>
      <c r="K146">
        <v>3</v>
      </c>
      <c r="L146">
        <v>0</v>
      </c>
      <c r="M146">
        <v>15.95</v>
      </c>
    </row>
    <row r="147" spans="1:13">
      <c r="A147" s="1">
        <f>HYPERLINK("https://lsnyc.legalserver.org/matter/dynamic-profile/view/0817110","16-0817110")</f>
        <v>0</v>
      </c>
      <c r="B147" t="s">
        <v>13</v>
      </c>
      <c r="C147" t="s">
        <v>123</v>
      </c>
      <c r="D147" t="s">
        <v>824</v>
      </c>
      <c r="E147" t="s">
        <v>1536</v>
      </c>
      <c r="F147" t="s">
        <v>2091</v>
      </c>
      <c r="G147">
        <v>11225</v>
      </c>
      <c r="K147">
        <v>3</v>
      </c>
      <c r="L147">
        <v>0</v>
      </c>
      <c r="M147">
        <v>15.95</v>
      </c>
    </row>
    <row r="148" spans="1:13">
      <c r="A148" s="1">
        <f>HYPERLINK("https://lsnyc.legalserver.org/matter/dynamic-profile/view/1862540","18-1862540")</f>
        <v>0</v>
      </c>
      <c r="B148" t="s">
        <v>13</v>
      </c>
      <c r="C148" t="s">
        <v>112</v>
      </c>
      <c r="D148" t="s">
        <v>814</v>
      </c>
      <c r="E148" t="s">
        <v>1527</v>
      </c>
      <c r="F148" t="s">
        <v>2095</v>
      </c>
      <c r="G148">
        <v>11691</v>
      </c>
      <c r="K148">
        <v>2</v>
      </c>
      <c r="L148">
        <v>0</v>
      </c>
      <c r="M148">
        <v>17.24</v>
      </c>
    </row>
    <row r="149" spans="1:13">
      <c r="A149" s="1">
        <f>HYPERLINK("https://lsnyc.legalserver.org/matter/dynamic-profile/view/1861033","18-1861033")</f>
        <v>0</v>
      </c>
      <c r="B149" t="s">
        <v>13</v>
      </c>
      <c r="C149" t="s">
        <v>112</v>
      </c>
      <c r="D149" t="s">
        <v>814</v>
      </c>
      <c r="E149" t="s">
        <v>1537</v>
      </c>
      <c r="F149" t="s">
        <v>2095</v>
      </c>
      <c r="G149">
        <v>11691</v>
      </c>
      <c r="K149">
        <v>2</v>
      </c>
      <c r="L149">
        <v>0</v>
      </c>
      <c r="M149">
        <v>17.24</v>
      </c>
    </row>
    <row r="150" spans="1:13">
      <c r="A150" s="1">
        <f>HYPERLINK("https://lsnyc.legalserver.org/matter/dynamic-profile/view/1863488","18-1863488")</f>
        <v>0</v>
      </c>
      <c r="B150" t="s">
        <v>13</v>
      </c>
      <c r="C150" t="s">
        <v>112</v>
      </c>
      <c r="D150" t="s">
        <v>814</v>
      </c>
      <c r="E150" t="s">
        <v>1527</v>
      </c>
      <c r="F150" t="s">
        <v>2095</v>
      </c>
      <c r="G150">
        <v>11691</v>
      </c>
      <c r="K150">
        <v>2</v>
      </c>
      <c r="L150">
        <v>0</v>
      </c>
      <c r="M150">
        <v>17.24</v>
      </c>
    </row>
    <row r="151" spans="1:13">
      <c r="A151" s="1">
        <f>HYPERLINK("https://lsnyc.legalserver.org/matter/dynamic-profile/view/1857239","18-1857239")</f>
        <v>0</v>
      </c>
      <c r="B151" t="s">
        <v>13</v>
      </c>
      <c r="C151" t="s">
        <v>124</v>
      </c>
      <c r="D151" t="s">
        <v>825</v>
      </c>
      <c r="E151" t="s">
        <v>1470</v>
      </c>
      <c r="F151" t="s">
        <v>2089</v>
      </c>
      <c r="G151">
        <v>10452</v>
      </c>
      <c r="K151">
        <v>1</v>
      </c>
      <c r="L151">
        <v>0</v>
      </c>
      <c r="M151">
        <v>17.29</v>
      </c>
    </row>
    <row r="152" spans="1:13">
      <c r="A152" s="1">
        <f>HYPERLINK("https://lsnyc.legalserver.org/matter/dynamic-profile/view/0826031","17-0826031")</f>
        <v>0</v>
      </c>
      <c r="B152" t="s">
        <v>13</v>
      </c>
      <c r="C152" t="s">
        <v>124</v>
      </c>
      <c r="D152" t="s">
        <v>825</v>
      </c>
      <c r="E152" t="s">
        <v>1470</v>
      </c>
      <c r="F152" t="s">
        <v>2089</v>
      </c>
      <c r="G152">
        <v>10452</v>
      </c>
      <c r="K152">
        <v>1</v>
      </c>
      <c r="L152">
        <v>0</v>
      </c>
      <c r="M152">
        <v>17.55</v>
      </c>
    </row>
    <row r="153" spans="1:13">
      <c r="A153" s="1">
        <f>HYPERLINK("https://lsnyc.legalserver.org/matter/dynamic-profile/view/0789062","15-0789062")</f>
        <v>0</v>
      </c>
      <c r="B153" t="s">
        <v>13</v>
      </c>
      <c r="C153" t="s">
        <v>124</v>
      </c>
      <c r="D153" t="s">
        <v>825</v>
      </c>
      <c r="E153" t="s">
        <v>1470</v>
      </c>
      <c r="F153" t="s">
        <v>2089</v>
      </c>
      <c r="G153">
        <v>10452</v>
      </c>
      <c r="K153">
        <v>1</v>
      </c>
      <c r="L153">
        <v>0</v>
      </c>
      <c r="M153">
        <v>17.72</v>
      </c>
    </row>
    <row r="154" spans="1:13">
      <c r="A154" s="1">
        <f>HYPERLINK("https://lsnyc.legalserver.org/matter/dynamic-profile/view/0829471","17-0829471")</f>
        <v>0</v>
      </c>
      <c r="B154" t="s">
        <v>13</v>
      </c>
      <c r="C154" t="s">
        <v>125</v>
      </c>
      <c r="D154" t="s">
        <v>826</v>
      </c>
      <c r="E154" t="s">
        <v>1538</v>
      </c>
      <c r="F154" t="s">
        <v>2091</v>
      </c>
      <c r="G154">
        <v>11209</v>
      </c>
      <c r="K154">
        <v>1</v>
      </c>
      <c r="L154">
        <v>0</v>
      </c>
      <c r="M154">
        <v>17.91</v>
      </c>
    </row>
    <row r="155" spans="1:13">
      <c r="A155" s="1">
        <f>HYPERLINK("https://lsnyc.legalserver.org/matter/dynamic-profile/view/1860670","18-1860670")</f>
        <v>0</v>
      </c>
      <c r="B155" t="s">
        <v>13</v>
      </c>
      <c r="C155" t="s">
        <v>126</v>
      </c>
      <c r="D155" t="s">
        <v>827</v>
      </c>
      <c r="E155" t="s">
        <v>1539</v>
      </c>
      <c r="F155" t="s">
        <v>2091</v>
      </c>
      <c r="G155">
        <v>11212</v>
      </c>
      <c r="K155">
        <v>1</v>
      </c>
      <c r="L155">
        <v>0</v>
      </c>
      <c r="M155">
        <v>17.99</v>
      </c>
    </row>
    <row r="156" spans="1:13">
      <c r="A156" s="1">
        <f>HYPERLINK("https://lsnyc.legalserver.org/matter/dynamic-profile/view/1839279","17-1839279")</f>
        <v>0</v>
      </c>
      <c r="B156" t="s">
        <v>13</v>
      </c>
      <c r="C156" t="s">
        <v>127</v>
      </c>
      <c r="D156" t="s">
        <v>828</v>
      </c>
      <c r="E156" t="s">
        <v>1540</v>
      </c>
      <c r="F156" t="s">
        <v>2093</v>
      </c>
      <c r="G156">
        <v>10034</v>
      </c>
      <c r="K156">
        <v>1</v>
      </c>
      <c r="L156">
        <v>0</v>
      </c>
      <c r="M156">
        <v>18.21</v>
      </c>
    </row>
    <row r="157" spans="1:13">
      <c r="A157" s="1">
        <f>HYPERLINK("https://lsnyc.legalserver.org/matter/dynamic-profile/view/1847656","17-1847656")</f>
        <v>0</v>
      </c>
      <c r="B157" t="s">
        <v>13</v>
      </c>
      <c r="C157" t="s">
        <v>128</v>
      </c>
      <c r="D157" t="s">
        <v>829</v>
      </c>
      <c r="E157" t="s">
        <v>1541</v>
      </c>
      <c r="F157" t="s">
        <v>2091</v>
      </c>
      <c r="G157">
        <v>11237</v>
      </c>
      <c r="K157">
        <v>1</v>
      </c>
      <c r="L157">
        <v>0</v>
      </c>
      <c r="M157">
        <v>18.21</v>
      </c>
    </row>
    <row r="158" spans="1:13">
      <c r="A158" s="1">
        <f>HYPERLINK("https://lsnyc.legalserver.org/matter/dynamic-profile/view/0807397","16-0807397")</f>
        <v>0</v>
      </c>
      <c r="B158" t="s">
        <v>13</v>
      </c>
      <c r="C158" t="s">
        <v>129</v>
      </c>
      <c r="D158" t="s">
        <v>830</v>
      </c>
      <c r="E158" t="s">
        <v>1542</v>
      </c>
      <c r="F158" t="s">
        <v>2093</v>
      </c>
      <c r="G158">
        <v>10029</v>
      </c>
      <c r="K158">
        <v>1</v>
      </c>
      <c r="L158">
        <v>0</v>
      </c>
      <c r="M158">
        <v>18.38</v>
      </c>
    </row>
    <row r="159" spans="1:13">
      <c r="A159" s="1">
        <f>HYPERLINK("https://lsnyc.legalserver.org/matter/dynamic-profile/view/0821157","16-0821157")</f>
        <v>0</v>
      </c>
      <c r="B159" t="s">
        <v>13</v>
      </c>
      <c r="C159" t="s">
        <v>130</v>
      </c>
      <c r="D159" t="s">
        <v>574</v>
      </c>
      <c r="E159" t="s">
        <v>1543</v>
      </c>
      <c r="F159" t="s">
        <v>2091</v>
      </c>
      <c r="G159">
        <v>11212</v>
      </c>
      <c r="K159">
        <v>1</v>
      </c>
      <c r="L159">
        <v>0</v>
      </c>
      <c r="M159">
        <v>18.48</v>
      </c>
    </row>
    <row r="160" spans="1:13">
      <c r="A160" s="1">
        <f>HYPERLINK("https://lsnyc.legalserver.org/matter/dynamic-profile/view/1864502","18-1864502")</f>
        <v>0</v>
      </c>
      <c r="B160" t="s">
        <v>13</v>
      </c>
      <c r="C160" t="s">
        <v>131</v>
      </c>
      <c r="D160" t="s">
        <v>831</v>
      </c>
      <c r="E160" t="s">
        <v>1544</v>
      </c>
      <c r="F160" t="s">
        <v>2093</v>
      </c>
      <c r="G160">
        <v>10029</v>
      </c>
      <c r="K160">
        <v>1</v>
      </c>
      <c r="L160">
        <v>0</v>
      </c>
      <c r="M160">
        <v>18.48</v>
      </c>
    </row>
    <row r="161" spans="1:13">
      <c r="A161" s="1">
        <f>HYPERLINK("https://lsnyc.legalserver.org/matter/dynamic-profile/view/1859764","18-1859764")</f>
        <v>0</v>
      </c>
      <c r="B161" t="s">
        <v>13</v>
      </c>
      <c r="C161" t="s">
        <v>132</v>
      </c>
      <c r="D161" t="s">
        <v>832</v>
      </c>
      <c r="E161" t="s">
        <v>1545</v>
      </c>
      <c r="F161" t="s">
        <v>2091</v>
      </c>
      <c r="G161">
        <v>11217</v>
      </c>
      <c r="K161">
        <v>1</v>
      </c>
      <c r="L161">
        <v>0</v>
      </c>
      <c r="M161">
        <v>19.4</v>
      </c>
    </row>
    <row r="162" spans="1:13">
      <c r="A162" s="1">
        <f>HYPERLINK("https://lsnyc.legalserver.org/matter/dynamic-profile/view/1841873","17-1841873")</f>
        <v>0</v>
      </c>
      <c r="B162" t="s">
        <v>13</v>
      </c>
      <c r="C162" t="s">
        <v>133</v>
      </c>
      <c r="D162" t="s">
        <v>833</v>
      </c>
      <c r="E162" t="s">
        <v>1546</v>
      </c>
      <c r="F162" t="s">
        <v>2093</v>
      </c>
      <c r="G162">
        <v>10040</v>
      </c>
      <c r="K162">
        <v>1</v>
      </c>
      <c r="L162">
        <v>0</v>
      </c>
      <c r="M162">
        <v>19.4</v>
      </c>
    </row>
    <row r="163" spans="1:13">
      <c r="A163" s="1">
        <f>HYPERLINK("https://lsnyc.legalserver.org/matter/dynamic-profile/view/1866794","18-1866794")</f>
        <v>0</v>
      </c>
      <c r="B163" t="s">
        <v>13</v>
      </c>
      <c r="C163" t="s">
        <v>134</v>
      </c>
      <c r="D163" t="s">
        <v>834</v>
      </c>
      <c r="E163" t="s">
        <v>1547</v>
      </c>
      <c r="F163" t="s">
        <v>2089</v>
      </c>
      <c r="G163">
        <v>10452</v>
      </c>
      <c r="K163">
        <v>1</v>
      </c>
      <c r="L163">
        <v>0</v>
      </c>
      <c r="M163">
        <v>19.77</v>
      </c>
    </row>
    <row r="164" spans="1:13">
      <c r="A164" s="1">
        <f>HYPERLINK("https://lsnyc.legalserver.org/matter/dynamic-profile/view/1862212","18-1862212")</f>
        <v>0</v>
      </c>
      <c r="B164" t="s">
        <v>13</v>
      </c>
      <c r="C164" t="s">
        <v>134</v>
      </c>
      <c r="D164" t="s">
        <v>834</v>
      </c>
      <c r="E164" t="s">
        <v>1547</v>
      </c>
      <c r="F164" t="s">
        <v>2089</v>
      </c>
      <c r="G164">
        <v>10452</v>
      </c>
      <c r="K164">
        <v>1</v>
      </c>
      <c r="L164">
        <v>0</v>
      </c>
      <c r="M164">
        <v>19.77</v>
      </c>
    </row>
    <row r="165" spans="1:13">
      <c r="A165" s="1">
        <f>HYPERLINK("https://lsnyc.legalserver.org/matter/dynamic-profile/view/1835844","17-1835844")</f>
        <v>0</v>
      </c>
      <c r="B165" t="s">
        <v>13</v>
      </c>
      <c r="C165" t="s">
        <v>135</v>
      </c>
      <c r="D165" t="s">
        <v>835</v>
      </c>
      <c r="E165" t="s">
        <v>1548</v>
      </c>
      <c r="F165" t="s">
        <v>2091</v>
      </c>
      <c r="G165">
        <v>11213</v>
      </c>
      <c r="K165">
        <v>1</v>
      </c>
      <c r="L165">
        <v>0</v>
      </c>
      <c r="M165">
        <v>19.9</v>
      </c>
    </row>
    <row r="166" spans="1:13">
      <c r="A166" s="1">
        <f>HYPERLINK("https://lsnyc.legalserver.org/matter/dynamic-profile/view/0803743","16-0803743")</f>
        <v>0</v>
      </c>
      <c r="B166" t="s">
        <v>13</v>
      </c>
      <c r="C166" t="s">
        <v>136</v>
      </c>
      <c r="D166" t="s">
        <v>836</v>
      </c>
      <c r="E166" t="s">
        <v>1549</v>
      </c>
      <c r="F166" t="s">
        <v>2089</v>
      </c>
      <c r="G166">
        <v>10452</v>
      </c>
      <c r="K166">
        <v>1</v>
      </c>
      <c r="L166">
        <v>0</v>
      </c>
      <c r="M166">
        <v>20</v>
      </c>
    </row>
    <row r="167" spans="1:13">
      <c r="A167" s="1">
        <f>HYPERLINK("https://lsnyc.legalserver.org/matter/dynamic-profile/view/1848463","17-1848463")</f>
        <v>0</v>
      </c>
      <c r="B167" t="s">
        <v>13</v>
      </c>
      <c r="C167" t="s">
        <v>137</v>
      </c>
      <c r="D167" t="s">
        <v>837</v>
      </c>
      <c r="E167" t="s">
        <v>1519</v>
      </c>
      <c r="F167" t="s">
        <v>2089</v>
      </c>
      <c r="G167">
        <v>10457</v>
      </c>
      <c r="K167">
        <v>1</v>
      </c>
      <c r="L167">
        <v>0</v>
      </c>
      <c r="M167">
        <v>20.5</v>
      </c>
    </row>
    <row r="168" spans="1:13">
      <c r="A168" s="1">
        <f>HYPERLINK("https://lsnyc.legalserver.org/matter/dynamic-profile/view/1841892","17-1841892")</f>
        <v>0</v>
      </c>
      <c r="B168" t="s">
        <v>13</v>
      </c>
      <c r="C168" t="s">
        <v>138</v>
      </c>
      <c r="D168" t="s">
        <v>838</v>
      </c>
      <c r="E168" t="s">
        <v>1550</v>
      </c>
      <c r="F168" t="s">
        <v>2091</v>
      </c>
      <c r="G168">
        <v>11233</v>
      </c>
      <c r="K168">
        <v>1</v>
      </c>
      <c r="L168">
        <v>0</v>
      </c>
      <c r="M168">
        <v>20.8</v>
      </c>
    </row>
    <row r="169" spans="1:13">
      <c r="A169" s="1">
        <f>HYPERLINK("https://lsnyc.legalserver.org/matter/dynamic-profile/view/1839583","17-1839583")</f>
        <v>0</v>
      </c>
      <c r="B169" t="s">
        <v>13</v>
      </c>
      <c r="C169" t="s">
        <v>66</v>
      </c>
      <c r="D169" t="s">
        <v>839</v>
      </c>
      <c r="E169" t="s">
        <v>1551</v>
      </c>
      <c r="F169" t="s">
        <v>2093</v>
      </c>
      <c r="G169">
        <v>10029</v>
      </c>
      <c r="K169">
        <v>3</v>
      </c>
      <c r="L169">
        <v>0</v>
      </c>
      <c r="M169">
        <v>20.86</v>
      </c>
    </row>
    <row r="170" spans="1:13">
      <c r="A170" s="1">
        <f>HYPERLINK("https://lsnyc.legalserver.org/matter/dynamic-profile/view/1853541","17-1853541")</f>
        <v>0</v>
      </c>
      <c r="B170" t="s">
        <v>13</v>
      </c>
      <c r="C170" t="s">
        <v>52</v>
      </c>
      <c r="D170" t="s">
        <v>840</v>
      </c>
      <c r="E170" t="s">
        <v>1552</v>
      </c>
      <c r="F170" t="s">
        <v>2093</v>
      </c>
      <c r="G170">
        <v>10034</v>
      </c>
      <c r="K170">
        <v>1</v>
      </c>
      <c r="L170">
        <v>0</v>
      </c>
      <c r="M170">
        <v>21.39</v>
      </c>
    </row>
    <row r="171" spans="1:13">
      <c r="A171" s="1">
        <f>HYPERLINK("https://lsnyc.legalserver.org/matter/dynamic-profile/view/1848494","17-1848494")</f>
        <v>0</v>
      </c>
      <c r="B171" t="s">
        <v>13</v>
      </c>
      <c r="C171" t="s">
        <v>39</v>
      </c>
      <c r="D171" t="s">
        <v>841</v>
      </c>
      <c r="E171" t="s">
        <v>1553</v>
      </c>
      <c r="F171" t="s">
        <v>2091</v>
      </c>
      <c r="G171">
        <v>11208</v>
      </c>
      <c r="K171">
        <v>1</v>
      </c>
      <c r="L171">
        <v>0</v>
      </c>
      <c r="M171">
        <v>21.39</v>
      </c>
    </row>
    <row r="172" spans="1:13">
      <c r="A172" s="1">
        <f>HYPERLINK("https://lsnyc.legalserver.org/matter/dynamic-profile/view/1871250","18-1871250")</f>
        <v>0</v>
      </c>
      <c r="B172" t="s">
        <v>13</v>
      </c>
      <c r="C172" t="s">
        <v>139</v>
      </c>
      <c r="D172" t="s">
        <v>842</v>
      </c>
      <c r="E172" t="s">
        <v>1448</v>
      </c>
      <c r="F172" t="s">
        <v>2091</v>
      </c>
      <c r="G172">
        <v>11212</v>
      </c>
      <c r="K172">
        <v>2</v>
      </c>
      <c r="L172">
        <v>0</v>
      </c>
      <c r="M172">
        <v>21.87</v>
      </c>
    </row>
    <row r="173" spans="1:13">
      <c r="A173" s="1">
        <f>HYPERLINK("https://lsnyc.legalserver.org/matter/dynamic-profile/view/0818153","16-0818153")</f>
        <v>0</v>
      </c>
      <c r="B173" t="s">
        <v>13</v>
      </c>
      <c r="C173" t="s">
        <v>140</v>
      </c>
      <c r="D173" t="s">
        <v>843</v>
      </c>
      <c r="E173" t="s">
        <v>1554</v>
      </c>
      <c r="F173" t="s">
        <v>2093</v>
      </c>
      <c r="G173">
        <v>10034</v>
      </c>
      <c r="K173">
        <v>2</v>
      </c>
      <c r="L173">
        <v>0</v>
      </c>
      <c r="M173">
        <v>23.53</v>
      </c>
    </row>
    <row r="174" spans="1:13">
      <c r="A174" s="1">
        <f>HYPERLINK("https://lsnyc.legalserver.org/matter/dynamic-profile/view/1867389","18-1867389")</f>
        <v>0</v>
      </c>
      <c r="B174" t="s">
        <v>13</v>
      </c>
      <c r="C174" t="s">
        <v>141</v>
      </c>
      <c r="D174" t="s">
        <v>844</v>
      </c>
      <c r="E174" t="s">
        <v>1555</v>
      </c>
      <c r="F174" t="s">
        <v>2093</v>
      </c>
      <c r="G174">
        <v>10040</v>
      </c>
      <c r="K174">
        <v>2</v>
      </c>
      <c r="L174">
        <v>0</v>
      </c>
      <c r="M174">
        <v>23.77</v>
      </c>
    </row>
    <row r="175" spans="1:13">
      <c r="A175" s="1">
        <f>HYPERLINK("https://lsnyc.legalserver.org/matter/dynamic-profile/view/0786502","15-0786502")</f>
        <v>0</v>
      </c>
      <c r="B175" t="s">
        <v>13</v>
      </c>
      <c r="C175" t="s">
        <v>142</v>
      </c>
      <c r="D175" t="s">
        <v>845</v>
      </c>
      <c r="E175" t="s">
        <v>1556</v>
      </c>
      <c r="F175" t="s">
        <v>2091</v>
      </c>
      <c r="G175">
        <v>11237</v>
      </c>
      <c r="K175">
        <v>1</v>
      </c>
      <c r="L175">
        <v>0</v>
      </c>
      <c r="M175">
        <v>24.47</v>
      </c>
    </row>
    <row r="176" spans="1:13">
      <c r="A176" s="1">
        <f>HYPERLINK("https://lsnyc.legalserver.org/matter/dynamic-profile/view/1852943","17-1852943")</f>
        <v>0</v>
      </c>
      <c r="B176" t="s">
        <v>13</v>
      </c>
      <c r="C176" t="s">
        <v>143</v>
      </c>
      <c r="D176" t="s">
        <v>846</v>
      </c>
      <c r="E176" t="s">
        <v>1480</v>
      </c>
      <c r="F176" t="s">
        <v>2091</v>
      </c>
      <c r="G176">
        <v>11208</v>
      </c>
      <c r="K176">
        <v>1</v>
      </c>
      <c r="L176">
        <v>0</v>
      </c>
      <c r="M176">
        <v>24.88</v>
      </c>
    </row>
    <row r="177" spans="1:13">
      <c r="A177" s="1">
        <f>HYPERLINK("https://lsnyc.legalserver.org/matter/dynamic-profile/view/0788993","15-0788993")</f>
        <v>0</v>
      </c>
      <c r="B177" t="s">
        <v>13</v>
      </c>
      <c r="C177" t="s">
        <v>144</v>
      </c>
      <c r="D177" t="s">
        <v>756</v>
      </c>
      <c r="E177" t="s">
        <v>1470</v>
      </c>
      <c r="F177" t="s">
        <v>2089</v>
      </c>
      <c r="G177">
        <v>10452</v>
      </c>
      <c r="K177">
        <v>2</v>
      </c>
      <c r="L177">
        <v>0</v>
      </c>
      <c r="M177">
        <v>25.08</v>
      </c>
    </row>
    <row r="178" spans="1:13">
      <c r="A178" s="1">
        <f>HYPERLINK("https://lsnyc.legalserver.org/matter/dynamic-profile/view/1852662","17-1852662")</f>
        <v>0</v>
      </c>
      <c r="B178" t="s">
        <v>13</v>
      </c>
      <c r="C178" t="s">
        <v>145</v>
      </c>
      <c r="D178" t="s">
        <v>756</v>
      </c>
      <c r="E178" t="s">
        <v>1557</v>
      </c>
      <c r="F178" t="s">
        <v>2091</v>
      </c>
      <c r="G178">
        <v>11208</v>
      </c>
      <c r="K178">
        <v>5</v>
      </c>
      <c r="L178">
        <v>0</v>
      </c>
      <c r="M178">
        <v>25.84</v>
      </c>
    </row>
    <row r="179" spans="1:13">
      <c r="A179" s="1">
        <f>HYPERLINK("https://lsnyc.legalserver.org/matter/dynamic-profile/view/1838171","17-1838171")</f>
        <v>0</v>
      </c>
      <c r="B179" t="s">
        <v>13</v>
      </c>
      <c r="C179" t="s">
        <v>76</v>
      </c>
      <c r="D179" t="s">
        <v>761</v>
      </c>
      <c r="E179" t="s">
        <v>1558</v>
      </c>
      <c r="F179" t="s">
        <v>2089</v>
      </c>
      <c r="G179">
        <v>10453</v>
      </c>
      <c r="K179">
        <v>2</v>
      </c>
      <c r="L179">
        <v>0</v>
      </c>
      <c r="M179">
        <v>26.38</v>
      </c>
    </row>
    <row r="180" spans="1:13">
      <c r="A180" s="1">
        <f>HYPERLINK("https://lsnyc.legalserver.org/matter/dynamic-profile/view/1868186","18-1868186")</f>
        <v>0</v>
      </c>
      <c r="B180" t="s">
        <v>13</v>
      </c>
      <c r="C180" t="s">
        <v>146</v>
      </c>
      <c r="D180" t="s">
        <v>847</v>
      </c>
      <c r="E180" t="s">
        <v>1559</v>
      </c>
      <c r="F180" t="s">
        <v>2093</v>
      </c>
      <c r="G180">
        <v>10029</v>
      </c>
      <c r="K180">
        <v>2</v>
      </c>
      <c r="L180">
        <v>0</v>
      </c>
      <c r="M180">
        <v>27.41</v>
      </c>
    </row>
    <row r="181" spans="1:13">
      <c r="A181" s="1">
        <f>HYPERLINK("https://lsnyc.legalserver.org/matter/dynamic-profile/view/1845103","17-1845103")</f>
        <v>0</v>
      </c>
      <c r="B181" t="s">
        <v>13</v>
      </c>
      <c r="C181" t="s">
        <v>147</v>
      </c>
      <c r="D181" t="s">
        <v>848</v>
      </c>
      <c r="E181" t="s">
        <v>1529</v>
      </c>
      <c r="F181" t="s">
        <v>2091</v>
      </c>
      <c r="G181">
        <v>11213</v>
      </c>
      <c r="K181">
        <v>1</v>
      </c>
      <c r="L181">
        <v>0</v>
      </c>
      <c r="M181">
        <v>28.26</v>
      </c>
    </row>
    <row r="182" spans="1:13">
      <c r="A182" s="1">
        <f>HYPERLINK("https://lsnyc.legalserver.org/matter/dynamic-profile/view/1861958","18-1861958")</f>
        <v>0</v>
      </c>
      <c r="B182" t="s">
        <v>13</v>
      </c>
      <c r="C182" t="s">
        <v>148</v>
      </c>
      <c r="D182" t="s">
        <v>782</v>
      </c>
      <c r="E182" t="s">
        <v>1560</v>
      </c>
      <c r="F182" t="s">
        <v>2089</v>
      </c>
      <c r="G182">
        <v>10453</v>
      </c>
      <c r="K182">
        <v>1</v>
      </c>
      <c r="L182">
        <v>0</v>
      </c>
      <c r="M182">
        <v>28.27</v>
      </c>
    </row>
    <row r="183" spans="1:13">
      <c r="A183" s="1">
        <f>HYPERLINK("https://lsnyc.legalserver.org/matter/dynamic-profile/view/1859306","18-1859306")</f>
        <v>0</v>
      </c>
      <c r="B183" t="s">
        <v>13</v>
      </c>
      <c r="C183" t="s">
        <v>149</v>
      </c>
      <c r="D183" t="s">
        <v>849</v>
      </c>
      <c r="E183" t="s">
        <v>1561</v>
      </c>
      <c r="F183" t="s">
        <v>2093</v>
      </c>
      <c r="G183">
        <v>10034</v>
      </c>
      <c r="K183">
        <v>1</v>
      </c>
      <c r="L183">
        <v>0</v>
      </c>
      <c r="M183">
        <v>28.46</v>
      </c>
    </row>
    <row r="184" spans="1:13">
      <c r="A184" s="1">
        <f>HYPERLINK("https://lsnyc.legalserver.org/matter/dynamic-profile/view/1833966","17-1833966")</f>
        <v>0</v>
      </c>
      <c r="B184" t="s">
        <v>13</v>
      </c>
      <c r="C184" t="s">
        <v>148</v>
      </c>
      <c r="D184" t="s">
        <v>782</v>
      </c>
      <c r="E184" t="s">
        <v>1560</v>
      </c>
      <c r="F184" t="s">
        <v>2089</v>
      </c>
      <c r="G184">
        <v>10453</v>
      </c>
      <c r="K184">
        <v>1</v>
      </c>
      <c r="L184">
        <v>0</v>
      </c>
      <c r="M184">
        <v>28.46</v>
      </c>
    </row>
    <row r="185" spans="1:13">
      <c r="A185" s="1">
        <f>HYPERLINK("https://lsnyc.legalserver.org/matter/dynamic-profile/view/1864275","18-1864275")</f>
        <v>0</v>
      </c>
      <c r="B185" t="s">
        <v>13</v>
      </c>
      <c r="C185" t="s">
        <v>18</v>
      </c>
      <c r="D185" t="s">
        <v>850</v>
      </c>
      <c r="E185" t="s">
        <v>1562</v>
      </c>
      <c r="F185" t="s">
        <v>2089</v>
      </c>
      <c r="G185">
        <v>10453</v>
      </c>
      <c r="K185">
        <v>1</v>
      </c>
      <c r="L185">
        <v>0</v>
      </c>
      <c r="M185">
        <v>28.67</v>
      </c>
    </row>
    <row r="186" spans="1:13">
      <c r="A186" s="1">
        <f>HYPERLINK("https://lsnyc.legalserver.org/matter/dynamic-profile/view/0797650","16-0797650")</f>
        <v>0</v>
      </c>
      <c r="B186" t="s">
        <v>13</v>
      </c>
      <c r="C186" t="s">
        <v>148</v>
      </c>
      <c r="D186" t="s">
        <v>782</v>
      </c>
      <c r="E186" t="s">
        <v>1560</v>
      </c>
      <c r="F186" t="s">
        <v>2089</v>
      </c>
      <c r="G186">
        <v>10453</v>
      </c>
      <c r="K186">
        <v>1</v>
      </c>
      <c r="L186">
        <v>0</v>
      </c>
      <c r="M186">
        <v>28.89</v>
      </c>
    </row>
    <row r="187" spans="1:13">
      <c r="A187" s="1">
        <f>HYPERLINK("https://lsnyc.legalserver.org/matter/dynamic-profile/view/1853638","17-1853638")</f>
        <v>0</v>
      </c>
      <c r="B187" t="s">
        <v>13</v>
      </c>
      <c r="C187" t="s">
        <v>150</v>
      </c>
      <c r="D187" t="s">
        <v>851</v>
      </c>
      <c r="E187" t="s">
        <v>1563</v>
      </c>
      <c r="F187" t="s">
        <v>2091</v>
      </c>
      <c r="G187">
        <v>11212</v>
      </c>
      <c r="K187">
        <v>1</v>
      </c>
      <c r="L187">
        <v>0</v>
      </c>
      <c r="M187">
        <v>29.42</v>
      </c>
    </row>
    <row r="188" spans="1:13">
      <c r="A188" s="1">
        <f>HYPERLINK("https://lsnyc.legalserver.org/matter/dynamic-profile/view/0814754","16-0814754")</f>
        <v>0</v>
      </c>
      <c r="B188" t="s">
        <v>13</v>
      </c>
      <c r="C188" t="s">
        <v>127</v>
      </c>
      <c r="D188" t="s">
        <v>852</v>
      </c>
      <c r="E188" t="s">
        <v>1564</v>
      </c>
      <c r="F188" t="s">
        <v>2091</v>
      </c>
      <c r="G188">
        <v>11218</v>
      </c>
      <c r="K188">
        <v>4</v>
      </c>
      <c r="L188">
        <v>0</v>
      </c>
      <c r="M188">
        <v>29.63</v>
      </c>
    </row>
    <row r="189" spans="1:13">
      <c r="A189" s="1">
        <f>HYPERLINK("https://lsnyc.legalserver.org/matter/dynamic-profile/view/1854764","17-1854764")</f>
        <v>0</v>
      </c>
      <c r="B189" t="s">
        <v>13</v>
      </c>
      <c r="C189" t="s">
        <v>151</v>
      </c>
      <c r="D189" t="s">
        <v>853</v>
      </c>
      <c r="E189" t="s">
        <v>1565</v>
      </c>
      <c r="F189" t="s">
        <v>2092</v>
      </c>
      <c r="G189">
        <v>11354</v>
      </c>
      <c r="K189">
        <v>1</v>
      </c>
      <c r="L189">
        <v>0</v>
      </c>
      <c r="M189">
        <v>29.85</v>
      </c>
    </row>
    <row r="190" spans="1:13">
      <c r="A190" s="1">
        <f>HYPERLINK("https://lsnyc.legalserver.org/matter/dynamic-profile/view/1861375","18-1861375")</f>
        <v>0</v>
      </c>
      <c r="B190" t="s">
        <v>13</v>
      </c>
      <c r="C190" t="s">
        <v>111</v>
      </c>
      <c r="D190" t="s">
        <v>813</v>
      </c>
      <c r="E190" t="s">
        <v>1526</v>
      </c>
      <c r="F190" t="s">
        <v>2092</v>
      </c>
      <c r="G190">
        <v>11355</v>
      </c>
      <c r="K190">
        <v>1</v>
      </c>
      <c r="L190">
        <v>0</v>
      </c>
      <c r="M190">
        <v>29.98</v>
      </c>
    </row>
    <row r="191" spans="1:13">
      <c r="A191" s="1">
        <f>HYPERLINK("https://lsnyc.legalserver.org/matter/dynamic-profile/view/1841809","17-1841809")</f>
        <v>0</v>
      </c>
      <c r="B191" t="s">
        <v>13</v>
      </c>
      <c r="C191" t="s">
        <v>152</v>
      </c>
      <c r="D191" t="s">
        <v>854</v>
      </c>
      <c r="E191" t="s">
        <v>1471</v>
      </c>
      <c r="F191" t="s">
        <v>2089</v>
      </c>
      <c r="G191">
        <v>10452</v>
      </c>
      <c r="K191">
        <v>1</v>
      </c>
      <c r="L191">
        <v>0</v>
      </c>
      <c r="M191">
        <v>30.35</v>
      </c>
    </row>
    <row r="192" spans="1:13">
      <c r="A192" s="1">
        <f>HYPERLINK("https://lsnyc.legalserver.org/matter/dynamic-profile/view/1841811","17-1841811")</f>
        <v>0</v>
      </c>
      <c r="B192" t="s">
        <v>13</v>
      </c>
      <c r="C192" t="s">
        <v>152</v>
      </c>
      <c r="D192" t="s">
        <v>854</v>
      </c>
      <c r="E192" t="s">
        <v>1471</v>
      </c>
      <c r="F192" t="s">
        <v>2089</v>
      </c>
      <c r="G192">
        <v>10452</v>
      </c>
      <c r="K192">
        <v>1</v>
      </c>
      <c r="L192">
        <v>0</v>
      </c>
      <c r="M192">
        <v>30.35</v>
      </c>
    </row>
    <row r="193" spans="1:13">
      <c r="A193" s="1">
        <f>HYPERLINK("https://lsnyc.legalserver.org/matter/dynamic-profile/view/1841813","17-1841813")</f>
        <v>0</v>
      </c>
      <c r="B193" t="s">
        <v>13</v>
      </c>
      <c r="C193" t="s">
        <v>152</v>
      </c>
      <c r="D193" t="s">
        <v>854</v>
      </c>
      <c r="E193" t="s">
        <v>1471</v>
      </c>
      <c r="F193" t="s">
        <v>2089</v>
      </c>
      <c r="G193">
        <v>10452</v>
      </c>
      <c r="K193">
        <v>1</v>
      </c>
      <c r="L193">
        <v>0</v>
      </c>
      <c r="M193">
        <v>30.35</v>
      </c>
    </row>
    <row r="194" spans="1:13">
      <c r="A194" s="1">
        <f>HYPERLINK("https://lsnyc.legalserver.org/matter/dynamic-profile/view/0817108","16-0817108")</f>
        <v>0</v>
      </c>
      <c r="B194" t="s">
        <v>13</v>
      </c>
      <c r="C194" t="s">
        <v>153</v>
      </c>
      <c r="D194" t="s">
        <v>855</v>
      </c>
      <c r="E194" t="s">
        <v>1566</v>
      </c>
      <c r="F194" t="s">
        <v>2091</v>
      </c>
      <c r="G194">
        <v>11225</v>
      </c>
      <c r="K194">
        <v>2</v>
      </c>
      <c r="L194">
        <v>0</v>
      </c>
      <c r="M194">
        <v>31.15</v>
      </c>
    </row>
    <row r="195" spans="1:13">
      <c r="A195" s="1">
        <f>HYPERLINK("https://lsnyc.legalserver.org/matter/dynamic-profile/view/1863621","18-1863621")</f>
        <v>0</v>
      </c>
      <c r="B195" t="s">
        <v>13</v>
      </c>
      <c r="C195" t="s">
        <v>39</v>
      </c>
      <c r="D195" t="s">
        <v>856</v>
      </c>
      <c r="E195" t="s">
        <v>1512</v>
      </c>
      <c r="F195" t="s">
        <v>2093</v>
      </c>
      <c r="G195">
        <v>10029</v>
      </c>
      <c r="K195">
        <v>1</v>
      </c>
      <c r="L195">
        <v>0</v>
      </c>
      <c r="M195">
        <v>31.33</v>
      </c>
    </row>
    <row r="196" spans="1:13">
      <c r="A196" s="1">
        <f>HYPERLINK("https://lsnyc.legalserver.org/matter/dynamic-profile/view/1854779","17-1854779")</f>
        <v>0</v>
      </c>
      <c r="B196" t="s">
        <v>13</v>
      </c>
      <c r="C196" t="s">
        <v>154</v>
      </c>
      <c r="D196" t="s">
        <v>857</v>
      </c>
      <c r="E196" t="s">
        <v>1567</v>
      </c>
      <c r="F196" t="s">
        <v>2089</v>
      </c>
      <c r="G196">
        <v>10451</v>
      </c>
      <c r="K196">
        <v>2</v>
      </c>
      <c r="L196">
        <v>0</v>
      </c>
      <c r="M196">
        <v>32.07</v>
      </c>
    </row>
    <row r="197" spans="1:13">
      <c r="A197" s="1">
        <f>HYPERLINK("https://lsnyc.legalserver.org/matter/dynamic-profile/view/0799013","16-0799013")</f>
        <v>0</v>
      </c>
      <c r="B197" t="s">
        <v>13</v>
      </c>
      <c r="C197" t="s">
        <v>113</v>
      </c>
      <c r="D197" t="s">
        <v>822</v>
      </c>
      <c r="E197" t="s">
        <v>1533</v>
      </c>
      <c r="F197" t="s">
        <v>2089</v>
      </c>
      <c r="G197">
        <v>10452</v>
      </c>
      <c r="K197">
        <v>1</v>
      </c>
      <c r="L197">
        <v>0</v>
      </c>
      <c r="M197">
        <v>32.39</v>
      </c>
    </row>
    <row r="198" spans="1:13">
      <c r="A198" s="1">
        <f>HYPERLINK("https://lsnyc.legalserver.org/matter/dynamic-profile/view/0816939","16-0816939")</f>
        <v>0</v>
      </c>
      <c r="B198" t="s">
        <v>13</v>
      </c>
      <c r="C198" t="s">
        <v>113</v>
      </c>
      <c r="D198" t="s">
        <v>822</v>
      </c>
      <c r="E198" t="s">
        <v>1533</v>
      </c>
      <c r="F198" t="s">
        <v>2089</v>
      </c>
      <c r="G198">
        <v>10452</v>
      </c>
      <c r="K198">
        <v>1</v>
      </c>
      <c r="L198">
        <v>0</v>
      </c>
      <c r="M198">
        <v>32.39</v>
      </c>
    </row>
    <row r="199" spans="1:13">
      <c r="A199" s="1">
        <f>HYPERLINK("https://lsnyc.legalserver.org/matter/dynamic-profile/view/0822529","16-0822529")</f>
        <v>0</v>
      </c>
      <c r="B199" t="s">
        <v>13</v>
      </c>
      <c r="C199" t="s">
        <v>113</v>
      </c>
      <c r="D199" t="s">
        <v>822</v>
      </c>
      <c r="E199" t="s">
        <v>1533</v>
      </c>
      <c r="F199" t="s">
        <v>2089</v>
      </c>
      <c r="G199">
        <v>10452</v>
      </c>
      <c r="K199">
        <v>1</v>
      </c>
      <c r="L199">
        <v>0</v>
      </c>
      <c r="M199">
        <v>32.39</v>
      </c>
    </row>
    <row r="200" spans="1:13">
      <c r="A200" s="1">
        <f>HYPERLINK("https://lsnyc.legalserver.org/matter/dynamic-profile/view/1870937","18-1870937")</f>
        <v>0</v>
      </c>
      <c r="B200" t="s">
        <v>13</v>
      </c>
      <c r="C200" t="s">
        <v>155</v>
      </c>
      <c r="D200" t="s">
        <v>858</v>
      </c>
      <c r="E200" t="s">
        <v>1568</v>
      </c>
      <c r="F200" t="s">
        <v>2093</v>
      </c>
      <c r="G200">
        <v>10040</v>
      </c>
      <c r="K200">
        <v>4</v>
      </c>
      <c r="L200">
        <v>0</v>
      </c>
      <c r="M200">
        <v>32.65</v>
      </c>
    </row>
    <row r="201" spans="1:13">
      <c r="A201" s="1">
        <f>HYPERLINK("https://lsnyc.legalserver.org/matter/dynamic-profile/view/1857829","18-1857829")</f>
        <v>0</v>
      </c>
      <c r="B201" t="s">
        <v>13</v>
      </c>
      <c r="C201" t="s">
        <v>156</v>
      </c>
      <c r="D201" t="s">
        <v>859</v>
      </c>
      <c r="E201" t="s">
        <v>1569</v>
      </c>
      <c r="F201" t="s">
        <v>2089</v>
      </c>
      <c r="G201">
        <v>10458</v>
      </c>
      <c r="K201">
        <v>1</v>
      </c>
      <c r="L201">
        <v>0</v>
      </c>
      <c r="M201">
        <v>32.92</v>
      </c>
    </row>
    <row r="202" spans="1:13">
      <c r="A202" s="1">
        <f>HYPERLINK("https://lsnyc.legalserver.org/matter/dynamic-profile/view/1862515","18-1862515")</f>
        <v>0</v>
      </c>
      <c r="B202" t="s">
        <v>13</v>
      </c>
      <c r="C202" t="s">
        <v>157</v>
      </c>
      <c r="D202" t="s">
        <v>860</v>
      </c>
      <c r="E202" t="s">
        <v>1570</v>
      </c>
      <c r="F202" t="s">
        <v>2091</v>
      </c>
      <c r="G202">
        <v>11233</v>
      </c>
      <c r="K202">
        <v>2</v>
      </c>
      <c r="L202">
        <v>0</v>
      </c>
      <c r="M202">
        <v>34.04</v>
      </c>
    </row>
    <row r="203" spans="1:13">
      <c r="A203" s="1">
        <f>HYPERLINK("https://lsnyc.legalserver.org/matter/dynamic-profile/view/0831520","17-0831520")</f>
        <v>0</v>
      </c>
      <c r="B203" t="s">
        <v>13</v>
      </c>
      <c r="C203" t="s">
        <v>158</v>
      </c>
      <c r="D203" t="s">
        <v>861</v>
      </c>
      <c r="E203" t="s">
        <v>1571</v>
      </c>
      <c r="F203" t="s">
        <v>2091</v>
      </c>
      <c r="G203">
        <v>11233</v>
      </c>
      <c r="K203">
        <v>4</v>
      </c>
      <c r="L203">
        <v>0</v>
      </c>
      <c r="M203">
        <v>34.15</v>
      </c>
    </row>
    <row r="204" spans="1:13">
      <c r="A204" s="1">
        <f>HYPERLINK("https://lsnyc.legalserver.org/matter/dynamic-profile/view/0816888","16-0816888")</f>
        <v>0</v>
      </c>
      <c r="B204" t="s">
        <v>13</v>
      </c>
      <c r="C204" t="s">
        <v>159</v>
      </c>
      <c r="D204" t="s">
        <v>862</v>
      </c>
      <c r="E204" t="s">
        <v>1572</v>
      </c>
      <c r="F204" t="s">
        <v>2089</v>
      </c>
      <c r="G204">
        <v>10453</v>
      </c>
      <c r="K204">
        <v>1</v>
      </c>
      <c r="L204">
        <v>0</v>
      </c>
      <c r="M204">
        <v>34.63</v>
      </c>
    </row>
    <row r="205" spans="1:13">
      <c r="A205" s="1">
        <f>HYPERLINK("https://lsnyc.legalserver.org/matter/dynamic-profile/view/1867812","18-1867812")</f>
        <v>0</v>
      </c>
      <c r="B205" t="s">
        <v>13</v>
      </c>
      <c r="C205" t="s">
        <v>160</v>
      </c>
      <c r="D205" t="s">
        <v>863</v>
      </c>
      <c r="E205" t="s">
        <v>1573</v>
      </c>
      <c r="F205" t="s">
        <v>2089</v>
      </c>
      <c r="G205">
        <v>10468</v>
      </c>
      <c r="K205">
        <v>2</v>
      </c>
      <c r="L205">
        <v>0</v>
      </c>
      <c r="M205">
        <v>34.75</v>
      </c>
    </row>
    <row r="206" spans="1:13">
      <c r="A206" s="1">
        <f>HYPERLINK("https://lsnyc.legalserver.org/matter/dynamic-profile/view/1833670","17-1833670")</f>
        <v>0</v>
      </c>
      <c r="B206" t="s">
        <v>13</v>
      </c>
      <c r="C206" t="s">
        <v>161</v>
      </c>
      <c r="D206" t="s">
        <v>864</v>
      </c>
      <c r="E206" t="s">
        <v>1574</v>
      </c>
      <c r="F206" t="s">
        <v>2093</v>
      </c>
      <c r="G206">
        <v>10034</v>
      </c>
      <c r="K206">
        <v>1</v>
      </c>
      <c r="L206">
        <v>0</v>
      </c>
      <c r="M206">
        <v>35.32</v>
      </c>
    </row>
    <row r="207" spans="1:13">
      <c r="A207" s="1">
        <f>HYPERLINK("https://lsnyc.legalserver.org/matter/dynamic-profile/view/1837914","17-1837914")</f>
        <v>0</v>
      </c>
      <c r="B207" t="s">
        <v>13</v>
      </c>
      <c r="C207" t="s">
        <v>162</v>
      </c>
      <c r="D207" t="s">
        <v>865</v>
      </c>
      <c r="E207" t="s">
        <v>1575</v>
      </c>
      <c r="F207" t="s">
        <v>2091</v>
      </c>
      <c r="G207">
        <v>11233</v>
      </c>
      <c r="K207">
        <v>4</v>
      </c>
      <c r="L207">
        <v>0</v>
      </c>
      <c r="M207">
        <v>35.85</v>
      </c>
    </row>
    <row r="208" spans="1:13">
      <c r="A208" s="1">
        <f>HYPERLINK("https://lsnyc.legalserver.org/matter/dynamic-profile/view/0796071","16-0796071")</f>
        <v>0</v>
      </c>
      <c r="B208" t="s">
        <v>13</v>
      </c>
      <c r="C208" t="s">
        <v>163</v>
      </c>
      <c r="D208" t="s">
        <v>866</v>
      </c>
      <c r="E208" t="s">
        <v>1576</v>
      </c>
      <c r="F208" t="s">
        <v>2089</v>
      </c>
      <c r="G208">
        <v>10453</v>
      </c>
      <c r="K208">
        <v>1</v>
      </c>
      <c r="L208">
        <v>0</v>
      </c>
      <c r="M208">
        <v>36.7</v>
      </c>
    </row>
    <row r="209" spans="1:13">
      <c r="A209" s="1">
        <f>HYPERLINK("https://lsnyc.legalserver.org/matter/dynamic-profile/view/1852102","17-1852102")</f>
        <v>0</v>
      </c>
      <c r="B209" t="s">
        <v>13</v>
      </c>
      <c r="C209" t="s">
        <v>164</v>
      </c>
      <c r="D209" t="s">
        <v>778</v>
      </c>
      <c r="E209" t="s">
        <v>1577</v>
      </c>
      <c r="F209" t="s">
        <v>2089</v>
      </c>
      <c r="G209">
        <v>10453</v>
      </c>
      <c r="K209">
        <v>3</v>
      </c>
      <c r="L209">
        <v>0</v>
      </c>
      <c r="M209">
        <v>37.02</v>
      </c>
    </row>
    <row r="210" spans="1:13">
      <c r="A210" s="1">
        <f>HYPERLINK("https://lsnyc.legalserver.org/matter/dynamic-profile/view/0817857","16-0817857")</f>
        <v>0</v>
      </c>
      <c r="B210" t="s">
        <v>13</v>
      </c>
      <c r="C210" t="s">
        <v>98</v>
      </c>
      <c r="D210" t="s">
        <v>739</v>
      </c>
      <c r="E210" t="s">
        <v>1578</v>
      </c>
      <c r="F210" t="s">
        <v>2093</v>
      </c>
      <c r="G210">
        <v>10029</v>
      </c>
      <c r="K210">
        <v>1</v>
      </c>
      <c r="L210">
        <v>0</v>
      </c>
      <c r="M210">
        <v>37.04</v>
      </c>
    </row>
    <row r="211" spans="1:13">
      <c r="A211" s="1">
        <f>HYPERLINK("https://lsnyc.legalserver.org/matter/dynamic-profile/view/1867145","18-1867145")</f>
        <v>0</v>
      </c>
      <c r="B211" t="s">
        <v>13</v>
      </c>
      <c r="C211" t="s">
        <v>165</v>
      </c>
      <c r="D211" t="s">
        <v>867</v>
      </c>
      <c r="E211" t="s">
        <v>1579</v>
      </c>
      <c r="F211" t="s">
        <v>2089</v>
      </c>
      <c r="G211">
        <v>10452</v>
      </c>
      <c r="K211">
        <v>1</v>
      </c>
      <c r="L211">
        <v>0</v>
      </c>
      <c r="M211">
        <v>37.56</v>
      </c>
    </row>
    <row r="212" spans="1:13">
      <c r="A212" s="1">
        <f>HYPERLINK("https://lsnyc.legalserver.org/matter/dynamic-profile/view/0816763","16-0816763")</f>
        <v>0</v>
      </c>
      <c r="B212" t="s">
        <v>13</v>
      </c>
      <c r="C212" t="s">
        <v>98</v>
      </c>
      <c r="D212" t="s">
        <v>868</v>
      </c>
      <c r="E212" t="s">
        <v>1580</v>
      </c>
      <c r="F212" t="s">
        <v>2089</v>
      </c>
      <c r="G212">
        <v>10453</v>
      </c>
      <c r="K212">
        <v>4</v>
      </c>
      <c r="L212">
        <v>0</v>
      </c>
      <c r="M212">
        <v>37.83</v>
      </c>
    </row>
    <row r="213" spans="1:13">
      <c r="A213" s="1">
        <f>HYPERLINK("https://lsnyc.legalserver.org/matter/dynamic-profile/view/0808950","16-0808950")</f>
        <v>0</v>
      </c>
      <c r="B213" t="s">
        <v>13</v>
      </c>
      <c r="C213" t="s">
        <v>98</v>
      </c>
      <c r="D213" t="s">
        <v>868</v>
      </c>
      <c r="E213" t="s">
        <v>1580</v>
      </c>
      <c r="F213" t="s">
        <v>2089</v>
      </c>
      <c r="G213">
        <v>10453</v>
      </c>
      <c r="K213">
        <v>4</v>
      </c>
      <c r="L213">
        <v>0</v>
      </c>
      <c r="M213">
        <v>37.83</v>
      </c>
    </row>
    <row r="214" spans="1:13">
      <c r="A214" s="1">
        <f>HYPERLINK("https://lsnyc.legalserver.org/matter/dynamic-profile/view/1858775","18-1858775")</f>
        <v>0</v>
      </c>
      <c r="B214" t="s">
        <v>13</v>
      </c>
      <c r="C214" t="s">
        <v>166</v>
      </c>
      <c r="D214" t="s">
        <v>869</v>
      </c>
      <c r="E214" t="s">
        <v>1581</v>
      </c>
      <c r="F214" t="s">
        <v>2089</v>
      </c>
      <c r="G214">
        <v>10452</v>
      </c>
      <c r="K214">
        <v>4</v>
      </c>
      <c r="L214">
        <v>0</v>
      </c>
      <c r="M214">
        <v>38.25</v>
      </c>
    </row>
    <row r="215" spans="1:13">
      <c r="A215" s="1">
        <f>HYPERLINK("https://lsnyc.legalserver.org/matter/dynamic-profile/view/0820939","16-0820939")</f>
        <v>0</v>
      </c>
      <c r="B215" t="s">
        <v>13</v>
      </c>
      <c r="C215" t="s">
        <v>167</v>
      </c>
      <c r="D215" t="s">
        <v>870</v>
      </c>
      <c r="E215" t="s">
        <v>1440</v>
      </c>
      <c r="F215" t="s">
        <v>2091</v>
      </c>
      <c r="G215">
        <v>11213</v>
      </c>
      <c r="K215">
        <v>1</v>
      </c>
      <c r="L215">
        <v>0</v>
      </c>
      <c r="M215">
        <v>38.28</v>
      </c>
    </row>
    <row r="216" spans="1:13">
      <c r="A216" s="1">
        <f>HYPERLINK("https://lsnyc.legalserver.org/matter/dynamic-profile/view/1870218","18-1870218")</f>
        <v>0</v>
      </c>
      <c r="B216" t="s">
        <v>13</v>
      </c>
      <c r="C216" t="s">
        <v>90</v>
      </c>
      <c r="D216" t="s">
        <v>871</v>
      </c>
      <c r="E216" t="s">
        <v>1582</v>
      </c>
      <c r="F216" t="s">
        <v>2095</v>
      </c>
      <c r="G216">
        <v>11691</v>
      </c>
      <c r="K216">
        <v>1</v>
      </c>
      <c r="L216">
        <v>0</v>
      </c>
      <c r="M216">
        <v>38.48</v>
      </c>
    </row>
    <row r="217" spans="1:13">
      <c r="A217" s="1">
        <f>HYPERLINK("https://lsnyc.legalserver.org/matter/dynamic-profile/view/1847981","17-1847981")</f>
        <v>0</v>
      </c>
      <c r="B217" t="s">
        <v>13</v>
      </c>
      <c r="C217" t="s">
        <v>168</v>
      </c>
      <c r="D217" t="s">
        <v>761</v>
      </c>
      <c r="E217" t="s">
        <v>1583</v>
      </c>
      <c r="F217" t="s">
        <v>2090</v>
      </c>
      <c r="G217">
        <v>10304</v>
      </c>
      <c r="K217">
        <v>1</v>
      </c>
      <c r="L217">
        <v>0</v>
      </c>
      <c r="M217">
        <v>38.61</v>
      </c>
    </row>
    <row r="218" spans="1:13">
      <c r="A218" s="1">
        <f>HYPERLINK("https://lsnyc.legalserver.org/matter/dynamic-profile/view/1849049","17-1849049")</f>
        <v>0</v>
      </c>
      <c r="B218" t="s">
        <v>13</v>
      </c>
      <c r="C218" t="s">
        <v>77</v>
      </c>
      <c r="D218" t="s">
        <v>872</v>
      </c>
      <c r="E218" t="s">
        <v>1583</v>
      </c>
      <c r="F218" t="s">
        <v>2090</v>
      </c>
      <c r="G218">
        <v>10304</v>
      </c>
      <c r="K218">
        <v>1</v>
      </c>
      <c r="L218">
        <v>0</v>
      </c>
      <c r="M218">
        <v>38.81</v>
      </c>
    </row>
    <row r="219" spans="1:13">
      <c r="A219" s="1">
        <f>HYPERLINK("https://lsnyc.legalserver.org/matter/dynamic-profile/view/1852920","17-1852920")</f>
        <v>0</v>
      </c>
      <c r="B219" t="s">
        <v>13</v>
      </c>
      <c r="C219" t="s">
        <v>169</v>
      </c>
      <c r="D219" t="s">
        <v>873</v>
      </c>
      <c r="E219" t="s">
        <v>1584</v>
      </c>
      <c r="F219" t="s">
        <v>2091</v>
      </c>
      <c r="G219">
        <v>11206</v>
      </c>
      <c r="K219">
        <v>3</v>
      </c>
      <c r="L219">
        <v>0</v>
      </c>
      <c r="M219">
        <v>38.87</v>
      </c>
    </row>
    <row r="220" spans="1:13">
      <c r="A220" s="1">
        <f>HYPERLINK("https://lsnyc.legalserver.org/matter/dynamic-profile/view/1857233","18-1857233")</f>
        <v>0</v>
      </c>
      <c r="B220" t="s">
        <v>13</v>
      </c>
      <c r="C220" t="s">
        <v>169</v>
      </c>
      <c r="D220" t="s">
        <v>873</v>
      </c>
      <c r="E220" t="s">
        <v>1584</v>
      </c>
      <c r="F220" t="s">
        <v>2091</v>
      </c>
      <c r="G220">
        <v>11206</v>
      </c>
      <c r="K220">
        <v>3</v>
      </c>
      <c r="L220">
        <v>0</v>
      </c>
      <c r="M220">
        <v>38.87</v>
      </c>
    </row>
    <row r="221" spans="1:13">
      <c r="A221" s="1">
        <f>HYPERLINK("https://lsnyc.legalserver.org/matter/dynamic-profile/view/1860020","18-1860020")</f>
        <v>0</v>
      </c>
      <c r="B221" t="s">
        <v>13</v>
      </c>
      <c r="C221" t="s">
        <v>170</v>
      </c>
      <c r="D221" t="s">
        <v>874</v>
      </c>
      <c r="E221" t="s">
        <v>1585</v>
      </c>
      <c r="F221" t="s">
        <v>2089</v>
      </c>
      <c r="G221">
        <v>10462</v>
      </c>
      <c r="K221">
        <v>2</v>
      </c>
      <c r="L221">
        <v>0</v>
      </c>
      <c r="M221">
        <v>39.16</v>
      </c>
    </row>
    <row r="222" spans="1:13">
      <c r="A222" s="1">
        <f>HYPERLINK("https://lsnyc.legalserver.org/matter/dynamic-profile/view/1856303","18-1856303")</f>
        <v>0</v>
      </c>
      <c r="B222" t="s">
        <v>13</v>
      </c>
      <c r="C222" t="s">
        <v>171</v>
      </c>
      <c r="D222" t="s">
        <v>875</v>
      </c>
      <c r="E222" t="s">
        <v>1586</v>
      </c>
      <c r="F222" t="s">
        <v>2091</v>
      </c>
      <c r="G222">
        <v>11233</v>
      </c>
      <c r="K222">
        <v>1</v>
      </c>
      <c r="L222">
        <v>0</v>
      </c>
      <c r="M222">
        <v>39.16</v>
      </c>
    </row>
    <row r="223" spans="1:13">
      <c r="A223" s="1">
        <f>HYPERLINK("https://lsnyc.legalserver.org/matter/dynamic-profile/view/1846718","17-1846718")</f>
        <v>0</v>
      </c>
      <c r="B223" t="s">
        <v>13</v>
      </c>
      <c r="C223" t="s">
        <v>172</v>
      </c>
      <c r="D223" t="s">
        <v>876</v>
      </c>
      <c r="E223" t="s">
        <v>1587</v>
      </c>
      <c r="F223" t="s">
        <v>2091</v>
      </c>
      <c r="G223">
        <v>11212</v>
      </c>
      <c r="K223">
        <v>1</v>
      </c>
      <c r="L223">
        <v>0</v>
      </c>
      <c r="M223">
        <v>39.5</v>
      </c>
    </row>
    <row r="224" spans="1:13">
      <c r="A224" s="1">
        <f>HYPERLINK("https://lsnyc.legalserver.org/matter/dynamic-profile/view/1866247","18-1866247")</f>
        <v>0</v>
      </c>
      <c r="B224" t="s">
        <v>13</v>
      </c>
      <c r="C224" t="s">
        <v>104</v>
      </c>
      <c r="D224" t="s">
        <v>877</v>
      </c>
      <c r="E224" t="s">
        <v>1588</v>
      </c>
      <c r="F224" t="s">
        <v>2093</v>
      </c>
      <c r="G224">
        <v>10034</v>
      </c>
      <c r="K224">
        <v>1</v>
      </c>
      <c r="L224">
        <v>0</v>
      </c>
      <c r="M224">
        <v>39.54</v>
      </c>
    </row>
    <row r="225" spans="1:13">
      <c r="A225" s="1">
        <f>HYPERLINK("https://lsnyc.legalserver.org/matter/dynamic-profile/view/1856515","18-1856515")</f>
        <v>0</v>
      </c>
      <c r="B225" t="s">
        <v>13</v>
      </c>
      <c r="C225" t="s">
        <v>173</v>
      </c>
      <c r="D225" t="s">
        <v>843</v>
      </c>
      <c r="E225" t="s">
        <v>1490</v>
      </c>
      <c r="F225" t="s">
        <v>2091</v>
      </c>
      <c r="G225">
        <v>11208</v>
      </c>
      <c r="K225">
        <v>1</v>
      </c>
      <c r="L225">
        <v>0</v>
      </c>
      <c r="M225">
        <v>39.8</v>
      </c>
    </row>
    <row r="226" spans="1:13">
      <c r="A226" s="1">
        <f>HYPERLINK("https://lsnyc.legalserver.org/matter/dynamic-profile/view/1856516","18-1856516")</f>
        <v>0</v>
      </c>
      <c r="B226" t="s">
        <v>13</v>
      </c>
      <c r="C226" t="s">
        <v>173</v>
      </c>
      <c r="D226" t="s">
        <v>843</v>
      </c>
      <c r="E226" t="s">
        <v>1490</v>
      </c>
      <c r="F226" t="s">
        <v>2091</v>
      </c>
      <c r="G226">
        <v>11208</v>
      </c>
      <c r="K226">
        <v>1</v>
      </c>
      <c r="L226">
        <v>0</v>
      </c>
      <c r="M226">
        <v>39.8</v>
      </c>
    </row>
    <row r="227" spans="1:13">
      <c r="A227" s="1">
        <f>HYPERLINK("https://lsnyc.legalserver.org/matter/dynamic-profile/view/1852018","17-1852018")</f>
        <v>0</v>
      </c>
      <c r="B227" t="s">
        <v>13</v>
      </c>
      <c r="C227" t="s">
        <v>174</v>
      </c>
      <c r="D227" t="s">
        <v>743</v>
      </c>
      <c r="E227" t="s">
        <v>1589</v>
      </c>
      <c r="F227" t="s">
        <v>2089</v>
      </c>
      <c r="G227">
        <v>10453</v>
      </c>
      <c r="K227">
        <v>2</v>
      </c>
      <c r="L227">
        <v>0</v>
      </c>
      <c r="M227">
        <v>40.02</v>
      </c>
    </row>
    <row r="228" spans="1:13">
      <c r="A228" s="1">
        <f>HYPERLINK("https://lsnyc.legalserver.org/matter/dynamic-profile/view/1843736","17-1843736")</f>
        <v>0</v>
      </c>
      <c r="B228" t="s">
        <v>13</v>
      </c>
      <c r="C228" t="s">
        <v>175</v>
      </c>
      <c r="D228" t="s">
        <v>878</v>
      </c>
      <c r="E228" t="s">
        <v>1590</v>
      </c>
      <c r="F228" t="s">
        <v>2100</v>
      </c>
      <c r="G228">
        <v>11233</v>
      </c>
      <c r="K228">
        <v>2</v>
      </c>
      <c r="L228">
        <v>0</v>
      </c>
      <c r="M228">
        <v>40.02</v>
      </c>
    </row>
    <row r="229" spans="1:13">
      <c r="A229" s="1">
        <f>HYPERLINK("https://lsnyc.legalserver.org/matter/dynamic-profile/view/1868629","18-1868629")</f>
        <v>0</v>
      </c>
      <c r="B229" t="s">
        <v>13</v>
      </c>
      <c r="C229" t="s">
        <v>176</v>
      </c>
      <c r="D229" t="s">
        <v>745</v>
      </c>
      <c r="E229" t="s">
        <v>1591</v>
      </c>
      <c r="F229" t="s">
        <v>2091</v>
      </c>
      <c r="G229">
        <v>11207</v>
      </c>
      <c r="K229">
        <v>1</v>
      </c>
      <c r="L229">
        <v>0</v>
      </c>
      <c r="M229">
        <v>40.26</v>
      </c>
    </row>
    <row r="230" spans="1:13">
      <c r="A230" s="1">
        <f>HYPERLINK("https://lsnyc.legalserver.org/matter/dynamic-profile/view/0822474","16-0822474")</f>
        <v>0</v>
      </c>
      <c r="B230" t="s">
        <v>13</v>
      </c>
      <c r="C230" t="s">
        <v>177</v>
      </c>
      <c r="D230" t="s">
        <v>879</v>
      </c>
      <c r="E230" t="s">
        <v>1592</v>
      </c>
      <c r="F230" t="s">
        <v>2093</v>
      </c>
      <c r="G230">
        <v>10032</v>
      </c>
      <c r="K230">
        <v>1</v>
      </c>
      <c r="L230">
        <v>0</v>
      </c>
      <c r="M230">
        <v>40.4</v>
      </c>
    </row>
    <row r="231" spans="1:13">
      <c r="A231" s="1">
        <f>HYPERLINK("https://lsnyc.legalserver.org/matter/dynamic-profile/view/1843614","17-1843614")</f>
        <v>0</v>
      </c>
      <c r="B231" t="s">
        <v>13</v>
      </c>
      <c r="C231" t="s">
        <v>98</v>
      </c>
      <c r="D231" t="s">
        <v>880</v>
      </c>
      <c r="E231" t="s">
        <v>1593</v>
      </c>
      <c r="F231" t="s">
        <v>2091</v>
      </c>
      <c r="G231">
        <v>11208</v>
      </c>
      <c r="K231">
        <v>1</v>
      </c>
      <c r="L231">
        <v>0</v>
      </c>
      <c r="M231">
        <v>40.53</v>
      </c>
    </row>
    <row r="232" spans="1:13">
      <c r="A232" s="1">
        <f>HYPERLINK("https://lsnyc.legalserver.org/matter/dynamic-profile/view/0823773","17-0823773")</f>
        <v>0</v>
      </c>
      <c r="B232" t="s">
        <v>13</v>
      </c>
      <c r="C232" t="s">
        <v>174</v>
      </c>
      <c r="D232" t="s">
        <v>743</v>
      </c>
      <c r="E232" t="s">
        <v>1589</v>
      </c>
      <c r="F232" t="s">
        <v>2089</v>
      </c>
      <c r="G232">
        <v>10453</v>
      </c>
      <c r="K232">
        <v>2</v>
      </c>
      <c r="L232">
        <v>0</v>
      </c>
      <c r="M232">
        <v>40.57</v>
      </c>
    </row>
    <row r="233" spans="1:13">
      <c r="A233" s="1">
        <f>HYPERLINK("https://lsnyc.legalserver.org/matter/dynamic-profile/view/1840381","17-1840381")</f>
        <v>0</v>
      </c>
      <c r="B233" t="s">
        <v>13</v>
      </c>
      <c r="C233" t="s">
        <v>178</v>
      </c>
      <c r="D233" t="s">
        <v>881</v>
      </c>
      <c r="E233" t="s">
        <v>1594</v>
      </c>
      <c r="F233" t="s">
        <v>2091</v>
      </c>
      <c r="G233">
        <v>11212</v>
      </c>
      <c r="K233">
        <v>4</v>
      </c>
      <c r="L233">
        <v>0</v>
      </c>
      <c r="M233">
        <v>40.98</v>
      </c>
    </row>
    <row r="234" spans="1:13">
      <c r="A234" s="1">
        <f>HYPERLINK("https://lsnyc.legalserver.org/matter/dynamic-profile/view/1870999","18-1870999")</f>
        <v>0</v>
      </c>
      <c r="B234" t="s">
        <v>13</v>
      </c>
      <c r="C234" t="s">
        <v>179</v>
      </c>
      <c r="D234" t="s">
        <v>882</v>
      </c>
      <c r="E234" t="s">
        <v>1595</v>
      </c>
      <c r="F234" t="s">
        <v>2101</v>
      </c>
      <c r="G234">
        <v>11372</v>
      </c>
      <c r="K234">
        <v>4</v>
      </c>
      <c r="L234">
        <v>0</v>
      </c>
      <c r="M234">
        <v>41.07</v>
      </c>
    </row>
    <row r="235" spans="1:13">
      <c r="A235" s="1">
        <f>HYPERLINK("https://lsnyc.legalserver.org/matter/dynamic-profile/view/0814008","16-0814008")</f>
        <v>0</v>
      </c>
      <c r="B235" t="s">
        <v>13</v>
      </c>
      <c r="C235" t="s">
        <v>180</v>
      </c>
      <c r="D235" t="s">
        <v>883</v>
      </c>
      <c r="E235" t="s">
        <v>1596</v>
      </c>
      <c r="F235" t="s">
        <v>2091</v>
      </c>
      <c r="G235">
        <v>11225</v>
      </c>
      <c r="K235">
        <v>1</v>
      </c>
      <c r="L235">
        <v>0</v>
      </c>
      <c r="M235">
        <v>41.89</v>
      </c>
    </row>
    <row r="236" spans="1:13">
      <c r="A236" s="1">
        <f>HYPERLINK("https://lsnyc.legalserver.org/matter/dynamic-profile/view/1853883","17-1853883")</f>
        <v>0</v>
      </c>
      <c r="B236" t="s">
        <v>13</v>
      </c>
      <c r="C236" t="s">
        <v>181</v>
      </c>
      <c r="D236" t="s">
        <v>884</v>
      </c>
      <c r="E236" t="s">
        <v>1597</v>
      </c>
      <c r="F236" t="s">
        <v>2089</v>
      </c>
      <c r="G236">
        <v>10453</v>
      </c>
      <c r="K236">
        <v>2</v>
      </c>
      <c r="L236">
        <v>0</v>
      </c>
      <c r="M236">
        <v>41.91</v>
      </c>
    </row>
    <row r="237" spans="1:13">
      <c r="A237" s="1">
        <f>HYPERLINK("https://lsnyc.legalserver.org/matter/dynamic-profile/view/0816107","16-0816107")</f>
        <v>0</v>
      </c>
      <c r="B237" t="s">
        <v>13</v>
      </c>
      <c r="C237" t="s">
        <v>182</v>
      </c>
      <c r="D237" t="s">
        <v>885</v>
      </c>
      <c r="E237" t="s">
        <v>1473</v>
      </c>
      <c r="F237" t="s">
        <v>2089</v>
      </c>
      <c r="G237">
        <v>10467</v>
      </c>
      <c r="K237">
        <v>2</v>
      </c>
      <c r="L237">
        <v>0</v>
      </c>
      <c r="M237">
        <v>41.95</v>
      </c>
    </row>
    <row r="238" spans="1:13">
      <c r="A238" s="1">
        <f>HYPERLINK("https://lsnyc.legalserver.org/matter/dynamic-profile/view/1850022","17-1850022")</f>
        <v>0</v>
      </c>
      <c r="B238" t="s">
        <v>13</v>
      </c>
      <c r="C238" t="s">
        <v>25</v>
      </c>
      <c r="D238" t="s">
        <v>723</v>
      </c>
      <c r="E238" t="s">
        <v>1448</v>
      </c>
      <c r="F238" t="s">
        <v>2091</v>
      </c>
      <c r="G238">
        <v>11212</v>
      </c>
      <c r="K238">
        <v>1</v>
      </c>
      <c r="L238">
        <v>0</v>
      </c>
      <c r="M238">
        <v>42.26</v>
      </c>
    </row>
    <row r="239" spans="1:13">
      <c r="A239" s="1">
        <f>HYPERLINK("https://lsnyc.legalserver.org/matter/dynamic-profile/view/0814031","16-0814031")</f>
        <v>0</v>
      </c>
      <c r="B239" t="s">
        <v>13</v>
      </c>
      <c r="C239" t="s">
        <v>162</v>
      </c>
      <c r="D239" t="s">
        <v>847</v>
      </c>
      <c r="E239" t="s">
        <v>1598</v>
      </c>
      <c r="F239" t="s">
        <v>2091</v>
      </c>
      <c r="G239">
        <v>11233</v>
      </c>
      <c r="K239">
        <v>2</v>
      </c>
      <c r="L239">
        <v>0</v>
      </c>
      <c r="M239">
        <v>42.47</v>
      </c>
    </row>
    <row r="240" spans="1:13">
      <c r="A240" s="1">
        <f>HYPERLINK("https://lsnyc.legalserver.org/matter/dynamic-profile/view/1868346","18-1868346")</f>
        <v>0</v>
      </c>
      <c r="B240" t="s">
        <v>13</v>
      </c>
      <c r="C240" t="s">
        <v>183</v>
      </c>
      <c r="D240" t="s">
        <v>886</v>
      </c>
      <c r="E240" t="s">
        <v>1599</v>
      </c>
      <c r="F240" t="s">
        <v>2089</v>
      </c>
      <c r="G240">
        <v>10452</v>
      </c>
      <c r="K240">
        <v>2</v>
      </c>
      <c r="L240">
        <v>0</v>
      </c>
      <c r="M240">
        <v>42.65</v>
      </c>
    </row>
    <row r="241" spans="1:13">
      <c r="A241" s="1">
        <f>HYPERLINK("https://lsnyc.legalserver.org/matter/dynamic-profile/view/1872189","18-1872189")</f>
        <v>0</v>
      </c>
      <c r="B241" t="s">
        <v>13</v>
      </c>
      <c r="C241" t="s">
        <v>183</v>
      </c>
      <c r="D241" t="s">
        <v>886</v>
      </c>
      <c r="E241" t="s">
        <v>1599</v>
      </c>
      <c r="F241" t="s">
        <v>2089</v>
      </c>
      <c r="G241">
        <v>10452</v>
      </c>
      <c r="K241">
        <v>2</v>
      </c>
      <c r="L241">
        <v>0</v>
      </c>
      <c r="M241">
        <v>42.65</v>
      </c>
    </row>
    <row r="242" spans="1:13">
      <c r="A242" s="1">
        <f>HYPERLINK("https://lsnyc.legalserver.org/matter/dynamic-profile/view/1842875","17-1842875")</f>
        <v>0</v>
      </c>
      <c r="B242" t="s">
        <v>13</v>
      </c>
      <c r="C242" t="s">
        <v>184</v>
      </c>
      <c r="D242" t="s">
        <v>887</v>
      </c>
      <c r="E242" t="s">
        <v>1472</v>
      </c>
      <c r="F242" t="s">
        <v>2090</v>
      </c>
      <c r="G242">
        <v>10314</v>
      </c>
      <c r="K242">
        <v>2</v>
      </c>
      <c r="L242">
        <v>0</v>
      </c>
      <c r="M242">
        <v>43.3</v>
      </c>
    </row>
    <row r="243" spans="1:13">
      <c r="A243" s="1">
        <f>HYPERLINK("https://lsnyc.legalserver.org/matter/dynamic-profile/view/0811878","16-0811878")</f>
        <v>0</v>
      </c>
      <c r="B243" t="s">
        <v>13</v>
      </c>
      <c r="C243" t="s">
        <v>185</v>
      </c>
      <c r="D243" t="s">
        <v>731</v>
      </c>
      <c r="E243" t="s">
        <v>1451</v>
      </c>
      <c r="F243" t="s">
        <v>2089</v>
      </c>
      <c r="G243">
        <v>10453</v>
      </c>
      <c r="K243">
        <v>1</v>
      </c>
      <c r="L243">
        <v>0</v>
      </c>
      <c r="M243">
        <v>43.77</v>
      </c>
    </row>
    <row r="244" spans="1:13">
      <c r="A244" s="1">
        <f>HYPERLINK("https://lsnyc.legalserver.org/matter/dynamic-profile/view/1871363","18-1871363")</f>
        <v>0</v>
      </c>
      <c r="B244" t="s">
        <v>13</v>
      </c>
      <c r="C244" t="s">
        <v>186</v>
      </c>
      <c r="D244" t="s">
        <v>888</v>
      </c>
      <c r="E244" t="s">
        <v>1448</v>
      </c>
      <c r="F244" t="s">
        <v>2091</v>
      </c>
      <c r="G244">
        <v>11212</v>
      </c>
      <c r="K244">
        <v>2</v>
      </c>
      <c r="L244">
        <v>0</v>
      </c>
      <c r="M244">
        <v>44.62</v>
      </c>
    </row>
    <row r="245" spans="1:13">
      <c r="A245" s="1">
        <f>HYPERLINK("https://lsnyc.legalserver.org/matter/dynamic-profile/view/1863673","18-1863673")</f>
        <v>0</v>
      </c>
      <c r="B245" t="s">
        <v>13</v>
      </c>
      <c r="C245" t="s">
        <v>131</v>
      </c>
      <c r="D245" t="s">
        <v>867</v>
      </c>
      <c r="E245" t="s">
        <v>1600</v>
      </c>
      <c r="F245" t="s">
        <v>2093</v>
      </c>
      <c r="G245">
        <v>10029</v>
      </c>
      <c r="K245">
        <v>3</v>
      </c>
      <c r="L245">
        <v>0</v>
      </c>
      <c r="M245">
        <v>44.64</v>
      </c>
    </row>
    <row r="246" spans="1:13">
      <c r="A246" s="1">
        <f>HYPERLINK("https://lsnyc.legalserver.org/matter/dynamic-profile/view/1851487","17-1851487")</f>
        <v>0</v>
      </c>
      <c r="B246" t="s">
        <v>13</v>
      </c>
      <c r="C246" t="s">
        <v>187</v>
      </c>
      <c r="D246" t="s">
        <v>738</v>
      </c>
      <c r="E246" t="s">
        <v>1601</v>
      </c>
      <c r="F246" t="s">
        <v>2091</v>
      </c>
      <c r="G246">
        <v>11212</v>
      </c>
      <c r="K246">
        <v>1</v>
      </c>
      <c r="L246">
        <v>0</v>
      </c>
      <c r="M246">
        <v>44.78</v>
      </c>
    </row>
    <row r="247" spans="1:13">
      <c r="A247" s="1">
        <f>HYPERLINK("https://lsnyc.legalserver.org/matter/dynamic-profile/view/0816733","16-0816733")</f>
        <v>0</v>
      </c>
      <c r="B247" t="s">
        <v>13</v>
      </c>
      <c r="C247" t="s">
        <v>188</v>
      </c>
      <c r="D247" t="s">
        <v>889</v>
      </c>
      <c r="E247" t="s">
        <v>1580</v>
      </c>
      <c r="F247" t="s">
        <v>2089</v>
      </c>
      <c r="G247">
        <v>10453</v>
      </c>
      <c r="K247">
        <v>2</v>
      </c>
      <c r="L247">
        <v>0</v>
      </c>
      <c r="M247">
        <v>44.79</v>
      </c>
    </row>
    <row r="248" spans="1:13">
      <c r="A248" s="1">
        <f>HYPERLINK("https://lsnyc.legalserver.org/matter/dynamic-profile/view/0808792","16-0808792")</f>
        <v>0</v>
      </c>
      <c r="B248" t="s">
        <v>13</v>
      </c>
      <c r="C248" t="s">
        <v>188</v>
      </c>
      <c r="D248" t="s">
        <v>889</v>
      </c>
      <c r="E248" t="s">
        <v>1580</v>
      </c>
      <c r="F248" t="s">
        <v>2089</v>
      </c>
      <c r="G248">
        <v>10453</v>
      </c>
      <c r="K248">
        <v>2</v>
      </c>
      <c r="L248">
        <v>0</v>
      </c>
      <c r="M248">
        <v>44.79</v>
      </c>
    </row>
    <row r="249" spans="1:13">
      <c r="A249" s="1">
        <f>HYPERLINK("https://lsnyc.legalserver.org/matter/dynamic-profile/view/1866109","18-1866109")</f>
        <v>0</v>
      </c>
      <c r="B249" t="s">
        <v>13</v>
      </c>
      <c r="C249" t="s">
        <v>189</v>
      </c>
      <c r="D249" t="s">
        <v>890</v>
      </c>
      <c r="E249" t="s">
        <v>1602</v>
      </c>
      <c r="F249" t="s">
        <v>2093</v>
      </c>
      <c r="G249">
        <v>10031</v>
      </c>
      <c r="K249">
        <v>1</v>
      </c>
      <c r="L249">
        <v>0</v>
      </c>
      <c r="M249">
        <v>44.98</v>
      </c>
    </row>
    <row r="250" spans="1:13">
      <c r="A250" s="1">
        <f>HYPERLINK("https://lsnyc.legalserver.org/matter/dynamic-profile/view/1868446","18-1868446")</f>
        <v>0</v>
      </c>
      <c r="B250" t="s">
        <v>13</v>
      </c>
      <c r="C250" t="s">
        <v>190</v>
      </c>
      <c r="D250" t="s">
        <v>891</v>
      </c>
      <c r="E250" t="s">
        <v>1603</v>
      </c>
      <c r="F250" t="s">
        <v>2093</v>
      </c>
      <c r="G250">
        <v>10034</v>
      </c>
      <c r="K250">
        <v>1</v>
      </c>
      <c r="L250">
        <v>0</v>
      </c>
      <c r="M250">
        <v>45.3</v>
      </c>
    </row>
    <row r="251" spans="1:13">
      <c r="A251" s="1">
        <f>HYPERLINK("https://lsnyc.legalserver.org/matter/dynamic-profile/view/0828485","17-0828485")</f>
        <v>0</v>
      </c>
      <c r="B251" t="s">
        <v>13</v>
      </c>
      <c r="C251" t="s">
        <v>191</v>
      </c>
      <c r="D251" t="s">
        <v>774</v>
      </c>
      <c r="E251" t="s">
        <v>1604</v>
      </c>
      <c r="F251" t="s">
        <v>2089</v>
      </c>
      <c r="G251">
        <v>10453</v>
      </c>
      <c r="K251">
        <v>4</v>
      </c>
      <c r="L251">
        <v>0</v>
      </c>
      <c r="M251">
        <v>45.43</v>
      </c>
    </row>
    <row r="252" spans="1:13">
      <c r="A252" s="1">
        <f>HYPERLINK("https://lsnyc.legalserver.org/matter/dynamic-profile/view/1850393","17-1850393")</f>
        <v>0</v>
      </c>
      <c r="B252" t="s">
        <v>13</v>
      </c>
      <c r="C252" t="s">
        <v>192</v>
      </c>
      <c r="D252" t="s">
        <v>892</v>
      </c>
      <c r="E252" t="s">
        <v>1605</v>
      </c>
      <c r="F252" t="s">
        <v>2090</v>
      </c>
      <c r="G252">
        <v>10304</v>
      </c>
      <c r="K252">
        <v>2</v>
      </c>
      <c r="L252">
        <v>0</v>
      </c>
      <c r="M252">
        <v>46.11</v>
      </c>
    </row>
    <row r="253" spans="1:13">
      <c r="A253" s="1">
        <f>HYPERLINK("https://lsnyc.legalserver.org/matter/dynamic-profile/view/1847633","17-1847633")</f>
        <v>0</v>
      </c>
      <c r="B253" t="s">
        <v>13</v>
      </c>
      <c r="C253" t="s">
        <v>15</v>
      </c>
      <c r="D253" t="s">
        <v>893</v>
      </c>
      <c r="E253" t="s">
        <v>1606</v>
      </c>
      <c r="F253" t="s">
        <v>2093</v>
      </c>
      <c r="G253">
        <v>10034</v>
      </c>
      <c r="K253">
        <v>2</v>
      </c>
      <c r="L253">
        <v>0</v>
      </c>
      <c r="M253">
        <v>46.55</v>
      </c>
    </row>
    <row r="254" spans="1:13">
      <c r="A254" s="1">
        <f>HYPERLINK("https://lsnyc.legalserver.org/matter/dynamic-profile/view/1871173","18-1871173")</f>
        <v>0</v>
      </c>
      <c r="B254" t="s">
        <v>13</v>
      </c>
      <c r="C254" t="s">
        <v>193</v>
      </c>
      <c r="D254" t="s">
        <v>825</v>
      </c>
      <c r="E254" t="s">
        <v>1607</v>
      </c>
      <c r="F254" t="s">
        <v>2089</v>
      </c>
      <c r="G254">
        <v>10456</v>
      </c>
      <c r="K254">
        <v>2</v>
      </c>
      <c r="L254">
        <v>0</v>
      </c>
      <c r="M254">
        <v>47.39</v>
      </c>
    </row>
    <row r="255" spans="1:13">
      <c r="A255" s="1">
        <f>HYPERLINK("https://lsnyc.legalserver.org/matter/dynamic-profile/view/1861928","18-1861928")</f>
        <v>0</v>
      </c>
      <c r="B255" t="s">
        <v>13</v>
      </c>
      <c r="C255" t="s">
        <v>169</v>
      </c>
      <c r="D255" t="s">
        <v>873</v>
      </c>
      <c r="E255" t="s">
        <v>1584</v>
      </c>
      <c r="F255" t="s">
        <v>2091</v>
      </c>
      <c r="G255">
        <v>11206</v>
      </c>
      <c r="K255">
        <v>2</v>
      </c>
      <c r="L255">
        <v>0</v>
      </c>
      <c r="M255">
        <v>48.23</v>
      </c>
    </row>
    <row r="256" spans="1:13">
      <c r="A256" s="1">
        <f>HYPERLINK("https://lsnyc.legalserver.org/matter/dynamic-profile/view/1852125","17-1852125")</f>
        <v>0</v>
      </c>
      <c r="B256" t="s">
        <v>13</v>
      </c>
      <c r="C256" t="s">
        <v>194</v>
      </c>
      <c r="D256" t="s">
        <v>894</v>
      </c>
      <c r="E256" t="s">
        <v>1608</v>
      </c>
      <c r="F256" t="s">
        <v>2091</v>
      </c>
      <c r="G256">
        <v>11210</v>
      </c>
      <c r="K256">
        <v>3</v>
      </c>
      <c r="L256">
        <v>0</v>
      </c>
      <c r="M256">
        <v>48.97</v>
      </c>
    </row>
    <row r="257" spans="1:13">
      <c r="A257" s="1">
        <f>HYPERLINK("https://lsnyc.legalserver.org/matter/dynamic-profile/view/1851667","17-1851667")</f>
        <v>0</v>
      </c>
      <c r="B257" t="s">
        <v>13</v>
      </c>
      <c r="C257" t="s">
        <v>195</v>
      </c>
      <c r="D257" t="s">
        <v>360</v>
      </c>
      <c r="E257" t="s">
        <v>1609</v>
      </c>
      <c r="F257" t="s">
        <v>2093</v>
      </c>
      <c r="G257">
        <v>10034</v>
      </c>
      <c r="K257">
        <v>2</v>
      </c>
      <c r="L257">
        <v>0</v>
      </c>
      <c r="M257">
        <v>49.26</v>
      </c>
    </row>
    <row r="258" spans="1:13">
      <c r="A258" s="1">
        <f>HYPERLINK("https://lsnyc.legalserver.org/matter/dynamic-profile/view/1851670","17-1851670")</f>
        <v>0</v>
      </c>
      <c r="B258" t="s">
        <v>13</v>
      </c>
      <c r="C258" t="s">
        <v>195</v>
      </c>
      <c r="D258" t="s">
        <v>360</v>
      </c>
      <c r="E258" t="s">
        <v>1609</v>
      </c>
      <c r="F258" t="s">
        <v>2093</v>
      </c>
      <c r="G258">
        <v>10034</v>
      </c>
      <c r="K258">
        <v>2</v>
      </c>
      <c r="L258">
        <v>0</v>
      </c>
      <c r="M258">
        <v>49.26</v>
      </c>
    </row>
    <row r="259" spans="1:13">
      <c r="A259" s="1">
        <f>HYPERLINK("https://lsnyc.legalserver.org/matter/dynamic-profile/view/1860830","18-1860830")</f>
        <v>0</v>
      </c>
      <c r="B259" t="s">
        <v>13</v>
      </c>
      <c r="C259" t="s">
        <v>196</v>
      </c>
      <c r="D259" t="s">
        <v>895</v>
      </c>
      <c r="E259" t="s">
        <v>1610</v>
      </c>
      <c r="F259" t="s">
        <v>2092</v>
      </c>
      <c r="G259">
        <v>11354</v>
      </c>
      <c r="K259">
        <v>1</v>
      </c>
      <c r="L259">
        <v>0</v>
      </c>
      <c r="M259">
        <v>49.42</v>
      </c>
    </row>
    <row r="260" spans="1:13">
      <c r="A260" s="1">
        <f>HYPERLINK("https://lsnyc.legalserver.org/matter/dynamic-profile/view/1841116","17-1841116")</f>
        <v>0</v>
      </c>
      <c r="B260" t="s">
        <v>13</v>
      </c>
      <c r="C260" t="s">
        <v>62</v>
      </c>
      <c r="D260" t="s">
        <v>896</v>
      </c>
      <c r="E260" t="s">
        <v>1521</v>
      </c>
      <c r="F260" t="s">
        <v>2089</v>
      </c>
      <c r="G260">
        <v>10463</v>
      </c>
      <c r="K260">
        <v>1</v>
      </c>
      <c r="L260">
        <v>0</v>
      </c>
      <c r="M260">
        <v>49.75</v>
      </c>
    </row>
    <row r="261" spans="1:13">
      <c r="A261" s="1">
        <f>HYPERLINK("https://lsnyc.legalserver.org/matter/dynamic-profile/view/1836815","17-1836815")</f>
        <v>0</v>
      </c>
      <c r="B261" t="s">
        <v>13</v>
      </c>
      <c r="C261" t="s">
        <v>62</v>
      </c>
      <c r="D261" t="s">
        <v>896</v>
      </c>
      <c r="E261" t="s">
        <v>1521</v>
      </c>
      <c r="F261" t="s">
        <v>2089</v>
      </c>
      <c r="G261">
        <v>10463</v>
      </c>
      <c r="K261">
        <v>1</v>
      </c>
      <c r="L261">
        <v>0</v>
      </c>
      <c r="M261">
        <v>49.75</v>
      </c>
    </row>
    <row r="262" spans="1:13">
      <c r="A262" s="1">
        <f>HYPERLINK("https://lsnyc.legalserver.org/matter/dynamic-profile/view/0822113","16-0822113")</f>
        <v>0</v>
      </c>
      <c r="B262" t="s">
        <v>13</v>
      </c>
      <c r="C262" t="s">
        <v>100</v>
      </c>
      <c r="D262" t="s">
        <v>801</v>
      </c>
      <c r="E262" t="s">
        <v>1471</v>
      </c>
      <c r="F262" t="s">
        <v>2089</v>
      </c>
      <c r="G262">
        <v>10452</v>
      </c>
      <c r="K262">
        <v>2</v>
      </c>
      <c r="L262">
        <v>0</v>
      </c>
      <c r="M262">
        <v>50.26</v>
      </c>
    </row>
    <row r="263" spans="1:13">
      <c r="A263" s="1">
        <f>HYPERLINK("https://lsnyc.legalserver.org/matter/dynamic-profile/view/1862587","18-1862587")</f>
        <v>0</v>
      </c>
      <c r="B263" t="s">
        <v>13</v>
      </c>
      <c r="C263" t="s">
        <v>197</v>
      </c>
      <c r="D263" t="s">
        <v>897</v>
      </c>
      <c r="E263" t="s">
        <v>1611</v>
      </c>
      <c r="F263" t="s">
        <v>2091</v>
      </c>
      <c r="G263">
        <v>11207</v>
      </c>
      <c r="K263">
        <v>2</v>
      </c>
      <c r="L263">
        <v>0</v>
      </c>
      <c r="M263">
        <v>51.03</v>
      </c>
    </row>
    <row r="264" spans="1:13">
      <c r="A264" s="1">
        <f>HYPERLINK("https://lsnyc.legalserver.org/matter/dynamic-profile/view/1852887","17-1852887")</f>
        <v>0</v>
      </c>
      <c r="B264" t="s">
        <v>13</v>
      </c>
      <c r="C264" t="s">
        <v>198</v>
      </c>
      <c r="D264" t="s">
        <v>898</v>
      </c>
      <c r="E264" t="s">
        <v>1469</v>
      </c>
      <c r="F264" t="s">
        <v>2089</v>
      </c>
      <c r="G264">
        <v>10457</v>
      </c>
      <c r="K264">
        <v>1</v>
      </c>
      <c r="L264">
        <v>0</v>
      </c>
      <c r="M264">
        <v>51.04</v>
      </c>
    </row>
    <row r="265" spans="1:13">
      <c r="A265" s="1">
        <f>HYPERLINK("https://lsnyc.legalserver.org/matter/dynamic-profile/view/1833656","17-1833656")</f>
        <v>0</v>
      </c>
      <c r="B265" t="s">
        <v>13</v>
      </c>
      <c r="C265" t="s">
        <v>199</v>
      </c>
      <c r="D265" t="s">
        <v>720</v>
      </c>
      <c r="E265" t="s">
        <v>1456</v>
      </c>
      <c r="F265" t="s">
        <v>2090</v>
      </c>
      <c r="G265">
        <v>10304</v>
      </c>
      <c r="K265">
        <v>2</v>
      </c>
      <c r="L265">
        <v>0</v>
      </c>
      <c r="M265">
        <v>51.65</v>
      </c>
    </row>
    <row r="266" spans="1:13">
      <c r="A266" s="1">
        <f>HYPERLINK("https://lsnyc.legalserver.org/matter/dynamic-profile/view/1870667","18-1870667")</f>
        <v>0</v>
      </c>
      <c r="B266" t="s">
        <v>13</v>
      </c>
      <c r="C266" t="s">
        <v>62</v>
      </c>
      <c r="D266" t="s">
        <v>899</v>
      </c>
      <c r="E266" t="s">
        <v>1612</v>
      </c>
      <c r="F266" t="s">
        <v>2102</v>
      </c>
      <c r="G266">
        <v>11101</v>
      </c>
      <c r="K266">
        <v>1</v>
      </c>
      <c r="L266">
        <v>0</v>
      </c>
      <c r="M266">
        <v>52.69</v>
      </c>
    </row>
    <row r="267" spans="1:13">
      <c r="A267" s="1">
        <f>HYPERLINK("https://lsnyc.legalserver.org/matter/dynamic-profile/view/1864708","18-1864708")</f>
        <v>0</v>
      </c>
      <c r="B267" t="s">
        <v>13</v>
      </c>
      <c r="C267" t="s">
        <v>62</v>
      </c>
      <c r="D267" t="s">
        <v>899</v>
      </c>
      <c r="E267" t="s">
        <v>1612</v>
      </c>
      <c r="F267" t="s">
        <v>2102</v>
      </c>
      <c r="G267">
        <v>11101</v>
      </c>
      <c r="K267">
        <v>1</v>
      </c>
      <c r="L267">
        <v>0</v>
      </c>
      <c r="M267">
        <v>52.69</v>
      </c>
    </row>
    <row r="268" spans="1:13">
      <c r="A268" s="1">
        <f>HYPERLINK("https://lsnyc.legalserver.org/matter/dynamic-profile/view/1857132","18-1857132")</f>
        <v>0</v>
      </c>
      <c r="B268" t="s">
        <v>13</v>
      </c>
      <c r="C268" t="s">
        <v>200</v>
      </c>
      <c r="D268" t="s">
        <v>900</v>
      </c>
      <c r="E268" t="s">
        <v>1470</v>
      </c>
      <c r="F268" t="s">
        <v>2089</v>
      </c>
      <c r="G268">
        <v>10452</v>
      </c>
      <c r="K268">
        <v>3</v>
      </c>
      <c r="L268">
        <v>0</v>
      </c>
      <c r="M268">
        <v>52.89</v>
      </c>
    </row>
    <row r="269" spans="1:13">
      <c r="A269" s="1">
        <f>HYPERLINK("https://lsnyc.legalserver.org/matter/dynamic-profile/view/1857641","18-1857641")</f>
        <v>0</v>
      </c>
      <c r="B269" t="s">
        <v>13</v>
      </c>
      <c r="C269" t="s">
        <v>61</v>
      </c>
      <c r="D269" t="s">
        <v>901</v>
      </c>
      <c r="E269" t="s">
        <v>1613</v>
      </c>
      <c r="F269" t="s">
        <v>2090</v>
      </c>
      <c r="G269">
        <v>10304</v>
      </c>
      <c r="K269">
        <v>2</v>
      </c>
      <c r="L269">
        <v>0</v>
      </c>
      <c r="M269">
        <v>53.2</v>
      </c>
    </row>
    <row r="270" spans="1:13">
      <c r="A270" s="1">
        <f>HYPERLINK("https://lsnyc.legalserver.org/matter/dynamic-profile/view/1834972","17-1834972")</f>
        <v>0</v>
      </c>
      <c r="B270" t="s">
        <v>13</v>
      </c>
      <c r="C270" t="s">
        <v>201</v>
      </c>
      <c r="D270" t="s">
        <v>836</v>
      </c>
      <c r="E270" t="s">
        <v>1614</v>
      </c>
      <c r="F270" t="s">
        <v>2089</v>
      </c>
      <c r="G270">
        <v>10452</v>
      </c>
      <c r="K270">
        <v>1</v>
      </c>
      <c r="L270">
        <v>0</v>
      </c>
      <c r="M270">
        <v>53.23</v>
      </c>
    </row>
    <row r="271" spans="1:13">
      <c r="A271" s="1">
        <f>HYPERLINK("https://lsnyc.legalserver.org/matter/dynamic-profile/view/1840771","17-1840771")</f>
        <v>0</v>
      </c>
      <c r="B271" t="s">
        <v>13</v>
      </c>
      <c r="C271" t="s">
        <v>202</v>
      </c>
      <c r="D271" t="s">
        <v>738</v>
      </c>
      <c r="E271" t="s">
        <v>1615</v>
      </c>
      <c r="F271" t="s">
        <v>2093</v>
      </c>
      <c r="G271">
        <v>10035</v>
      </c>
      <c r="K271">
        <v>2</v>
      </c>
      <c r="L271">
        <v>0</v>
      </c>
      <c r="M271">
        <v>53.28</v>
      </c>
    </row>
    <row r="272" spans="1:13">
      <c r="A272" s="1">
        <f>HYPERLINK("https://lsnyc.legalserver.org/matter/dynamic-profile/view/1870894","18-1870894")</f>
        <v>0</v>
      </c>
      <c r="B272" t="s">
        <v>13</v>
      </c>
      <c r="C272" t="s">
        <v>131</v>
      </c>
      <c r="D272" t="s">
        <v>902</v>
      </c>
      <c r="E272" t="s">
        <v>1616</v>
      </c>
      <c r="F272" t="s">
        <v>2093</v>
      </c>
      <c r="G272">
        <v>10040</v>
      </c>
      <c r="K272">
        <v>1</v>
      </c>
      <c r="L272">
        <v>0</v>
      </c>
      <c r="M272">
        <v>53.54</v>
      </c>
    </row>
    <row r="273" spans="1:13">
      <c r="A273" s="1">
        <f>HYPERLINK("https://lsnyc.legalserver.org/matter/dynamic-profile/view/0821038","16-0821038")</f>
        <v>0</v>
      </c>
      <c r="B273" t="s">
        <v>13</v>
      </c>
      <c r="C273" t="s">
        <v>200</v>
      </c>
      <c r="D273" t="s">
        <v>900</v>
      </c>
      <c r="E273" t="s">
        <v>1470</v>
      </c>
      <c r="F273" t="s">
        <v>2089</v>
      </c>
      <c r="G273">
        <v>10452</v>
      </c>
      <c r="K273">
        <v>3</v>
      </c>
      <c r="L273">
        <v>0</v>
      </c>
      <c r="M273">
        <v>53.57</v>
      </c>
    </row>
    <row r="274" spans="1:13">
      <c r="A274" s="1">
        <f>HYPERLINK("https://lsnyc.legalserver.org/matter/dynamic-profile/view/1846939","17-1846939")</f>
        <v>0</v>
      </c>
      <c r="B274" t="s">
        <v>13</v>
      </c>
      <c r="C274" t="s">
        <v>203</v>
      </c>
      <c r="D274" t="s">
        <v>903</v>
      </c>
      <c r="E274" t="s">
        <v>1617</v>
      </c>
      <c r="F274" t="s">
        <v>2091</v>
      </c>
      <c r="G274">
        <v>11212</v>
      </c>
      <c r="K274">
        <v>2</v>
      </c>
      <c r="L274">
        <v>0</v>
      </c>
      <c r="M274">
        <v>53.79</v>
      </c>
    </row>
    <row r="275" spans="1:13">
      <c r="A275" s="1">
        <f>HYPERLINK("https://lsnyc.legalserver.org/matter/dynamic-profile/view/1841830","17-1841830")</f>
        <v>0</v>
      </c>
      <c r="B275" t="s">
        <v>13</v>
      </c>
      <c r="C275" t="s">
        <v>204</v>
      </c>
      <c r="D275" t="s">
        <v>904</v>
      </c>
      <c r="E275" t="s">
        <v>1618</v>
      </c>
      <c r="F275" t="s">
        <v>2093</v>
      </c>
      <c r="G275">
        <v>10034</v>
      </c>
      <c r="K275">
        <v>1</v>
      </c>
      <c r="L275">
        <v>0</v>
      </c>
      <c r="M275">
        <v>53.9</v>
      </c>
    </row>
    <row r="276" spans="1:13">
      <c r="A276" s="1">
        <f>HYPERLINK("https://lsnyc.legalserver.org/matter/dynamic-profile/view/1864398","18-1864398")</f>
        <v>0</v>
      </c>
      <c r="B276" t="s">
        <v>13</v>
      </c>
      <c r="C276" t="s">
        <v>61</v>
      </c>
      <c r="D276" t="s">
        <v>904</v>
      </c>
      <c r="E276" t="s">
        <v>1512</v>
      </c>
      <c r="F276" t="s">
        <v>2093</v>
      </c>
      <c r="G276">
        <v>10029</v>
      </c>
      <c r="K276">
        <v>1</v>
      </c>
      <c r="L276">
        <v>0</v>
      </c>
      <c r="M276">
        <v>53.97</v>
      </c>
    </row>
    <row r="277" spans="1:13">
      <c r="A277" s="1">
        <f>HYPERLINK("https://lsnyc.legalserver.org/matter/dynamic-profile/view/1851832","17-1851832")</f>
        <v>0</v>
      </c>
      <c r="B277" t="s">
        <v>13</v>
      </c>
      <c r="C277" t="s">
        <v>134</v>
      </c>
      <c r="D277" t="s">
        <v>905</v>
      </c>
      <c r="E277" t="s">
        <v>1619</v>
      </c>
      <c r="F277" t="s">
        <v>2091</v>
      </c>
      <c r="G277">
        <v>11206</v>
      </c>
      <c r="K277">
        <v>2</v>
      </c>
      <c r="L277">
        <v>0</v>
      </c>
      <c r="M277">
        <v>54.16</v>
      </c>
    </row>
    <row r="278" spans="1:13">
      <c r="A278" s="1">
        <f>HYPERLINK("https://lsnyc.legalserver.org/matter/dynamic-profile/view/1834795","17-1834795")</f>
        <v>0</v>
      </c>
      <c r="B278" t="s">
        <v>13</v>
      </c>
      <c r="C278" t="s">
        <v>205</v>
      </c>
      <c r="D278" t="s">
        <v>906</v>
      </c>
      <c r="E278" t="s">
        <v>1620</v>
      </c>
      <c r="F278" t="s">
        <v>2089</v>
      </c>
      <c r="G278">
        <v>10468</v>
      </c>
      <c r="K278">
        <v>2</v>
      </c>
      <c r="L278">
        <v>0</v>
      </c>
      <c r="M278">
        <v>54.16</v>
      </c>
    </row>
    <row r="279" spans="1:13">
      <c r="A279" s="1">
        <f>HYPERLINK("https://lsnyc.legalserver.org/matter/dynamic-profile/view/1844065","17-1844065")</f>
        <v>0</v>
      </c>
      <c r="B279" t="s">
        <v>13</v>
      </c>
      <c r="C279" t="s">
        <v>206</v>
      </c>
      <c r="D279" t="s">
        <v>907</v>
      </c>
      <c r="E279" t="s">
        <v>1621</v>
      </c>
      <c r="F279" t="s">
        <v>2092</v>
      </c>
      <c r="G279">
        <v>11367</v>
      </c>
      <c r="K279">
        <v>2</v>
      </c>
      <c r="L279">
        <v>0</v>
      </c>
      <c r="M279">
        <v>54.16</v>
      </c>
    </row>
    <row r="280" spans="1:13">
      <c r="A280" s="1">
        <f>HYPERLINK("https://lsnyc.legalserver.org/matter/dynamic-profile/view/1834291","17-1834291")</f>
        <v>0</v>
      </c>
      <c r="B280" t="s">
        <v>13</v>
      </c>
      <c r="C280" t="s">
        <v>207</v>
      </c>
      <c r="D280" t="s">
        <v>908</v>
      </c>
      <c r="E280" t="s">
        <v>1622</v>
      </c>
      <c r="F280" t="s">
        <v>2090</v>
      </c>
      <c r="G280">
        <v>10304</v>
      </c>
      <c r="K280">
        <v>2</v>
      </c>
      <c r="L280">
        <v>0</v>
      </c>
      <c r="M280">
        <v>54.31</v>
      </c>
    </row>
    <row r="281" spans="1:13">
      <c r="A281" s="1">
        <f>HYPERLINK("https://lsnyc.legalserver.org/matter/dynamic-profile/view/1834624","17-1834624")</f>
        <v>0</v>
      </c>
      <c r="B281" t="s">
        <v>13</v>
      </c>
      <c r="C281" t="s">
        <v>208</v>
      </c>
      <c r="D281" t="s">
        <v>909</v>
      </c>
      <c r="E281" t="s">
        <v>1623</v>
      </c>
      <c r="F281" t="s">
        <v>2093</v>
      </c>
      <c r="G281">
        <v>10033</v>
      </c>
      <c r="K281">
        <v>1</v>
      </c>
      <c r="L281">
        <v>0</v>
      </c>
      <c r="M281">
        <v>54.43</v>
      </c>
    </row>
    <row r="282" spans="1:13">
      <c r="A282" s="1">
        <f>HYPERLINK("https://lsnyc.legalserver.org/matter/dynamic-profile/view/1841234","17-1841234")</f>
        <v>0</v>
      </c>
      <c r="B282" t="s">
        <v>13</v>
      </c>
      <c r="C282" t="s">
        <v>209</v>
      </c>
      <c r="D282" t="s">
        <v>182</v>
      </c>
      <c r="E282" t="s">
        <v>1624</v>
      </c>
      <c r="F282" t="s">
        <v>2091</v>
      </c>
      <c r="G282">
        <v>11210</v>
      </c>
      <c r="K282">
        <v>1</v>
      </c>
      <c r="L282">
        <v>0</v>
      </c>
      <c r="M282">
        <v>54.73</v>
      </c>
    </row>
    <row r="283" spans="1:13">
      <c r="A283" s="1">
        <f>HYPERLINK("https://lsnyc.legalserver.org/matter/dynamic-profile/view/0806862","16-0806862")</f>
        <v>0</v>
      </c>
      <c r="B283" t="s">
        <v>13</v>
      </c>
      <c r="C283" t="s">
        <v>210</v>
      </c>
      <c r="D283" t="s">
        <v>910</v>
      </c>
      <c r="E283" t="s">
        <v>1625</v>
      </c>
      <c r="F283" t="s">
        <v>2091</v>
      </c>
      <c r="G283">
        <v>11207</v>
      </c>
      <c r="K283">
        <v>2</v>
      </c>
      <c r="L283">
        <v>0</v>
      </c>
      <c r="M283">
        <v>54.91</v>
      </c>
    </row>
    <row r="284" spans="1:13">
      <c r="A284" s="1">
        <f>HYPERLINK("https://lsnyc.legalserver.org/matter/dynamic-profile/view/1860410","18-1860410")</f>
        <v>0</v>
      </c>
      <c r="B284" t="s">
        <v>13</v>
      </c>
      <c r="C284" t="s">
        <v>211</v>
      </c>
      <c r="D284" t="s">
        <v>911</v>
      </c>
      <c r="E284" t="s">
        <v>1626</v>
      </c>
      <c r="F284" t="s">
        <v>2089</v>
      </c>
      <c r="G284">
        <v>10452</v>
      </c>
      <c r="K284">
        <v>2</v>
      </c>
      <c r="L284">
        <v>0</v>
      </c>
      <c r="M284">
        <v>55.04</v>
      </c>
    </row>
    <row r="285" spans="1:13">
      <c r="A285" s="1">
        <f>HYPERLINK("https://lsnyc.legalserver.org/matter/dynamic-profile/view/1863825","18-1863825")</f>
        <v>0</v>
      </c>
      <c r="B285" t="s">
        <v>13</v>
      </c>
      <c r="C285" t="s">
        <v>212</v>
      </c>
      <c r="D285" t="s">
        <v>912</v>
      </c>
      <c r="E285" t="s">
        <v>1512</v>
      </c>
      <c r="F285" t="s">
        <v>2093</v>
      </c>
      <c r="G285">
        <v>10029</v>
      </c>
      <c r="K285">
        <v>2</v>
      </c>
      <c r="L285">
        <v>0</v>
      </c>
      <c r="M285">
        <v>55.04</v>
      </c>
    </row>
    <row r="286" spans="1:13">
      <c r="A286" s="1">
        <f>HYPERLINK("https://lsnyc.legalserver.org/matter/dynamic-profile/view/1862429","18-1862429")</f>
        <v>0</v>
      </c>
      <c r="B286" t="s">
        <v>13</v>
      </c>
      <c r="C286" t="s">
        <v>213</v>
      </c>
      <c r="D286" t="s">
        <v>841</v>
      </c>
      <c r="E286" t="s">
        <v>1627</v>
      </c>
      <c r="F286" t="s">
        <v>2089</v>
      </c>
      <c r="G286">
        <v>10452</v>
      </c>
      <c r="K286">
        <v>2</v>
      </c>
      <c r="L286">
        <v>0</v>
      </c>
      <c r="M286">
        <v>55.12</v>
      </c>
    </row>
    <row r="287" spans="1:13">
      <c r="A287" s="1">
        <f>HYPERLINK("https://lsnyc.legalserver.org/matter/dynamic-profile/view/1863109","18-1863109")</f>
        <v>0</v>
      </c>
      <c r="B287" t="s">
        <v>13</v>
      </c>
      <c r="C287" t="s">
        <v>113</v>
      </c>
      <c r="D287" t="s">
        <v>815</v>
      </c>
      <c r="E287" t="s">
        <v>1528</v>
      </c>
      <c r="F287" t="s">
        <v>2093</v>
      </c>
      <c r="G287">
        <v>10034</v>
      </c>
      <c r="K287">
        <v>1</v>
      </c>
      <c r="L287">
        <v>0</v>
      </c>
      <c r="M287">
        <v>55.19</v>
      </c>
    </row>
    <row r="288" spans="1:13">
      <c r="A288" s="1">
        <f>HYPERLINK("https://lsnyc.legalserver.org/matter/dynamic-profile/view/1860335","18-1860335")</f>
        <v>0</v>
      </c>
      <c r="B288" t="s">
        <v>13</v>
      </c>
      <c r="C288" t="s">
        <v>214</v>
      </c>
      <c r="D288" t="s">
        <v>913</v>
      </c>
      <c r="E288" t="s">
        <v>1628</v>
      </c>
      <c r="F288" t="s">
        <v>2094</v>
      </c>
      <c r="G288">
        <v>11432</v>
      </c>
      <c r="K288">
        <v>2</v>
      </c>
      <c r="L288">
        <v>0</v>
      </c>
      <c r="M288">
        <v>55.19</v>
      </c>
    </row>
    <row r="289" spans="1:13">
      <c r="A289" s="1">
        <f>HYPERLINK("https://lsnyc.legalserver.org/matter/dynamic-profile/view/1851698","17-1851698")</f>
        <v>0</v>
      </c>
      <c r="B289" t="s">
        <v>13</v>
      </c>
      <c r="C289" t="s">
        <v>215</v>
      </c>
      <c r="D289" t="s">
        <v>731</v>
      </c>
      <c r="E289" t="s">
        <v>1629</v>
      </c>
      <c r="F289" t="s">
        <v>2102</v>
      </c>
      <c r="G289">
        <v>11101</v>
      </c>
      <c r="K289">
        <v>1</v>
      </c>
      <c r="L289">
        <v>0</v>
      </c>
      <c r="M289">
        <v>55.32</v>
      </c>
    </row>
    <row r="290" spans="1:13">
      <c r="A290" s="1">
        <f>HYPERLINK("https://lsnyc.legalserver.org/matter/dynamic-profile/view/1838700","17-1838700")</f>
        <v>0</v>
      </c>
      <c r="B290" t="s">
        <v>13</v>
      </c>
      <c r="C290" t="s">
        <v>216</v>
      </c>
      <c r="D290" t="s">
        <v>914</v>
      </c>
      <c r="E290" t="s">
        <v>1630</v>
      </c>
      <c r="F290" t="s">
        <v>2094</v>
      </c>
      <c r="G290">
        <v>11432</v>
      </c>
      <c r="K290">
        <v>2</v>
      </c>
      <c r="L290">
        <v>0</v>
      </c>
      <c r="M290">
        <v>55.42</v>
      </c>
    </row>
    <row r="291" spans="1:13">
      <c r="A291" s="1">
        <f>HYPERLINK("https://lsnyc.legalserver.org/matter/dynamic-profile/view/1847654","17-1847654")</f>
        <v>0</v>
      </c>
      <c r="B291" t="s">
        <v>13</v>
      </c>
      <c r="C291" t="s">
        <v>217</v>
      </c>
      <c r="D291" t="s">
        <v>915</v>
      </c>
      <c r="E291" t="s">
        <v>1606</v>
      </c>
      <c r="F291" t="s">
        <v>2093</v>
      </c>
      <c r="G291">
        <v>10034</v>
      </c>
      <c r="K291">
        <v>2</v>
      </c>
      <c r="L291">
        <v>0</v>
      </c>
      <c r="M291">
        <v>55.42</v>
      </c>
    </row>
    <row r="292" spans="1:13">
      <c r="A292" s="1">
        <f>HYPERLINK("https://lsnyc.legalserver.org/matter/dynamic-profile/view/1868559","18-1868559")</f>
        <v>0</v>
      </c>
      <c r="B292" t="s">
        <v>13</v>
      </c>
      <c r="C292" t="s">
        <v>218</v>
      </c>
      <c r="D292" t="s">
        <v>916</v>
      </c>
      <c r="E292" t="s">
        <v>1631</v>
      </c>
      <c r="F292" t="s">
        <v>2089</v>
      </c>
      <c r="G292">
        <v>10453</v>
      </c>
      <c r="K292">
        <v>1</v>
      </c>
      <c r="L292">
        <v>0</v>
      </c>
      <c r="M292">
        <v>55.45</v>
      </c>
    </row>
    <row r="293" spans="1:13">
      <c r="A293" s="1">
        <f>HYPERLINK("https://lsnyc.legalserver.org/matter/dynamic-profile/view/1840374","17-1840374")</f>
        <v>0</v>
      </c>
      <c r="B293" t="s">
        <v>13</v>
      </c>
      <c r="C293" t="s">
        <v>219</v>
      </c>
      <c r="D293" t="s">
        <v>917</v>
      </c>
      <c r="E293" t="s">
        <v>1632</v>
      </c>
      <c r="F293" t="s">
        <v>2093</v>
      </c>
      <c r="G293">
        <v>10033</v>
      </c>
      <c r="K293">
        <v>1</v>
      </c>
      <c r="L293">
        <v>0</v>
      </c>
      <c r="M293">
        <v>55.72</v>
      </c>
    </row>
    <row r="294" spans="1:13">
      <c r="A294" s="1">
        <f>HYPERLINK("https://lsnyc.legalserver.org/matter/dynamic-profile/view/1854568","17-1854568")</f>
        <v>0</v>
      </c>
      <c r="B294" t="s">
        <v>13</v>
      </c>
      <c r="C294" t="s">
        <v>39</v>
      </c>
      <c r="D294" t="s">
        <v>825</v>
      </c>
      <c r="E294" t="s">
        <v>1633</v>
      </c>
      <c r="F294" t="s">
        <v>2091</v>
      </c>
      <c r="G294">
        <v>11207</v>
      </c>
      <c r="K294">
        <v>2</v>
      </c>
      <c r="L294">
        <v>0</v>
      </c>
      <c r="M294">
        <v>55.86</v>
      </c>
    </row>
    <row r="295" spans="1:13">
      <c r="A295" s="1">
        <f>HYPERLINK("https://lsnyc.legalserver.org/matter/dynamic-profile/view/1835050","17-1835050")</f>
        <v>0</v>
      </c>
      <c r="B295" t="s">
        <v>13</v>
      </c>
      <c r="C295" t="s">
        <v>39</v>
      </c>
      <c r="D295" t="s">
        <v>825</v>
      </c>
      <c r="E295" t="s">
        <v>1633</v>
      </c>
      <c r="F295" t="s">
        <v>2091</v>
      </c>
      <c r="G295">
        <v>11207</v>
      </c>
      <c r="K295">
        <v>2</v>
      </c>
      <c r="L295">
        <v>0</v>
      </c>
      <c r="M295">
        <v>55.86</v>
      </c>
    </row>
    <row r="296" spans="1:13">
      <c r="A296" s="1">
        <f>HYPERLINK("https://lsnyc.legalserver.org/matter/dynamic-profile/view/1860226","18-1860226")</f>
        <v>0</v>
      </c>
      <c r="B296" t="s">
        <v>13</v>
      </c>
      <c r="C296" t="s">
        <v>214</v>
      </c>
      <c r="D296" t="s">
        <v>913</v>
      </c>
      <c r="E296" t="s">
        <v>1628</v>
      </c>
      <c r="F296" t="s">
        <v>2094</v>
      </c>
      <c r="G296">
        <v>11432</v>
      </c>
      <c r="K296">
        <v>2</v>
      </c>
      <c r="L296">
        <v>0</v>
      </c>
      <c r="M296">
        <v>55.93</v>
      </c>
    </row>
    <row r="297" spans="1:13">
      <c r="A297" s="1">
        <f>HYPERLINK("https://lsnyc.legalserver.org/matter/dynamic-profile/view/0822061","16-0822061")</f>
        <v>0</v>
      </c>
      <c r="B297" t="s">
        <v>13</v>
      </c>
      <c r="C297" t="s">
        <v>220</v>
      </c>
      <c r="D297" t="s">
        <v>918</v>
      </c>
      <c r="E297" t="s">
        <v>1471</v>
      </c>
      <c r="F297" t="s">
        <v>2089</v>
      </c>
      <c r="G297">
        <v>10452</v>
      </c>
      <c r="K297">
        <v>2</v>
      </c>
      <c r="L297">
        <v>0</v>
      </c>
      <c r="M297">
        <v>56.1</v>
      </c>
    </row>
    <row r="298" spans="1:13">
      <c r="A298" s="1">
        <f>HYPERLINK("https://lsnyc.legalserver.org/matter/dynamic-profile/view/0822062","16-0822062")</f>
        <v>0</v>
      </c>
      <c r="B298" t="s">
        <v>13</v>
      </c>
      <c r="C298" t="s">
        <v>220</v>
      </c>
      <c r="D298" t="s">
        <v>918</v>
      </c>
      <c r="E298" t="s">
        <v>1471</v>
      </c>
      <c r="F298" t="s">
        <v>2089</v>
      </c>
      <c r="G298">
        <v>10452</v>
      </c>
      <c r="K298">
        <v>2</v>
      </c>
      <c r="L298">
        <v>0</v>
      </c>
      <c r="M298">
        <v>56.1</v>
      </c>
    </row>
    <row r="299" spans="1:13">
      <c r="A299" s="1">
        <f>HYPERLINK("https://lsnyc.legalserver.org/matter/dynamic-profile/view/1852937","17-1852937")</f>
        <v>0</v>
      </c>
      <c r="B299" t="s">
        <v>13</v>
      </c>
      <c r="C299" t="s">
        <v>221</v>
      </c>
      <c r="D299" t="s">
        <v>736</v>
      </c>
      <c r="E299" t="s">
        <v>1634</v>
      </c>
      <c r="F299" t="s">
        <v>2091</v>
      </c>
      <c r="G299">
        <v>11213</v>
      </c>
      <c r="K299">
        <v>2</v>
      </c>
      <c r="L299">
        <v>0</v>
      </c>
      <c r="M299">
        <v>56.53</v>
      </c>
    </row>
    <row r="300" spans="1:13">
      <c r="A300" s="1">
        <f>HYPERLINK("https://lsnyc.legalserver.org/matter/dynamic-profile/view/0804709","16-0804709")</f>
        <v>0</v>
      </c>
      <c r="B300" t="s">
        <v>13</v>
      </c>
      <c r="C300" t="s">
        <v>222</v>
      </c>
      <c r="D300" t="s">
        <v>919</v>
      </c>
      <c r="E300" t="s">
        <v>1462</v>
      </c>
      <c r="F300" t="s">
        <v>2092</v>
      </c>
      <c r="G300">
        <v>11354</v>
      </c>
      <c r="K300">
        <v>2</v>
      </c>
      <c r="L300">
        <v>0</v>
      </c>
      <c r="M300">
        <v>56.63</v>
      </c>
    </row>
    <row r="301" spans="1:13">
      <c r="A301" s="1">
        <f>HYPERLINK("https://lsnyc.legalserver.org/matter/dynamic-profile/view/1870428","18-1870428")</f>
        <v>0</v>
      </c>
      <c r="B301" t="s">
        <v>13</v>
      </c>
      <c r="C301" t="s">
        <v>223</v>
      </c>
      <c r="D301" t="s">
        <v>920</v>
      </c>
      <c r="E301" t="s">
        <v>1635</v>
      </c>
      <c r="F301" t="s">
        <v>2091</v>
      </c>
      <c r="G301">
        <v>11207</v>
      </c>
      <c r="K301">
        <v>2</v>
      </c>
      <c r="L301">
        <v>0</v>
      </c>
      <c r="M301">
        <v>56.72</v>
      </c>
    </row>
    <row r="302" spans="1:13">
      <c r="A302" s="1">
        <f>HYPERLINK("https://lsnyc.legalserver.org/matter/dynamic-profile/view/0819705","16-0819705")</f>
        <v>0</v>
      </c>
      <c r="B302" t="s">
        <v>13</v>
      </c>
      <c r="C302" t="s">
        <v>39</v>
      </c>
      <c r="D302" t="s">
        <v>841</v>
      </c>
      <c r="E302" t="s">
        <v>1469</v>
      </c>
      <c r="F302" t="s">
        <v>2089</v>
      </c>
      <c r="G302">
        <v>10457</v>
      </c>
      <c r="K302">
        <v>2</v>
      </c>
      <c r="L302">
        <v>0</v>
      </c>
      <c r="M302">
        <v>56.8</v>
      </c>
    </row>
    <row r="303" spans="1:13">
      <c r="A303" s="1">
        <f>HYPERLINK("https://lsnyc.legalserver.org/matter/dynamic-profile/view/1862026","18-1862026")</f>
        <v>0</v>
      </c>
      <c r="B303" t="s">
        <v>13</v>
      </c>
      <c r="C303" t="s">
        <v>224</v>
      </c>
      <c r="D303" t="s">
        <v>921</v>
      </c>
      <c r="E303" t="s">
        <v>1636</v>
      </c>
      <c r="F303" t="s">
        <v>2090</v>
      </c>
      <c r="G303">
        <v>10302</v>
      </c>
      <c r="K303">
        <v>2</v>
      </c>
      <c r="L303">
        <v>0</v>
      </c>
      <c r="M303">
        <v>57.08</v>
      </c>
    </row>
    <row r="304" spans="1:13">
      <c r="A304" s="1">
        <f>HYPERLINK("https://lsnyc.legalserver.org/matter/dynamic-profile/view/1859639","18-1859639")</f>
        <v>0</v>
      </c>
      <c r="B304" t="s">
        <v>13</v>
      </c>
      <c r="C304" t="s">
        <v>225</v>
      </c>
      <c r="D304" t="s">
        <v>922</v>
      </c>
      <c r="E304" t="s">
        <v>1438</v>
      </c>
      <c r="F304" t="s">
        <v>2089</v>
      </c>
      <c r="G304">
        <v>10453</v>
      </c>
      <c r="K304">
        <v>3</v>
      </c>
      <c r="L304">
        <v>0</v>
      </c>
      <c r="M304">
        <v>57.3</v>
      </c>
    </row>
    <row r="305" spans="1:13">
      <c r="A305" s="1">
        <f>HYPERLINK("https://lsnyc.legalserver.org/matter/dynamic-profile/view/0822074","16-0822074")</f>
        <v>0</v>
      </c>
      <c r="B305" t="s">
        <v>13</v>
      </c>
      <c r="C305" t="s">
        <v>226</v>
      </c>
      <c r="D305" t="s">
        <v>923</v>
      </c>
      <c r="E305" t="s">
        <v>1471</v>
      </c>
      <c r="F305" t="s">
        <v>2089</v>
      </c>
      <c r="G305">
        <v>10452</v>
      </c>
      <c r="K305">
        <v>2</v>
      </c>
      <c r="L305">
        <v>0</v>
      </c>
      <c r="M305">
        <v>57.75</v>
      </c>
    </row>
    <row r="306" spans="1:13">
      <c r="A306" s="1">
        <f>HYPERLINK("https://lsnyc.legalserver.org/matter/dynamic-profile/view/0822078","16-0822078")</f>
        <v>0</v>
      </c>
      <c r="B306" t="s">
        <v>13</v>
      </c>
      <c r="C306" t="s">
        <v>226</v>
      </c>
      <c r="D306" t="s">
        <v>923</v>
      </c>
      <c r="E306" t="s">
        <v>1471</v>
      </c>
      <c r="F306" t="s">
        <v>2089</v>
      </c>
      <c r="G306">
        <v>10452</v>
      </c>
      <c r="K306">
        <v>2</v>
      </c>
      <c r="L306">
        <v>0</v>
      </c>
      <c r="M306">
        <v>57.75</v>
      </c>
    </row>
    <row r="307" spans="1:13">
      <c r="A307" s="1">
        <f>HYPERLINK("https://lsnyc.legalserver.org/matter/dynamic-profile/view/1870358","18-1870358")</f>
        <v>0</v>
      </c>
      <c r="B307" t="s">
        <v>13</v>
      </c>
      <c r="C307" t="s">
        <v>72</v>
      </c>
      <c r="D307" t="s">
        <v>924</v>
      </c>
      <c r="E307" t="s">
        <v>1637</v>
      </c>
      <c r="F307" t="s">
        <v>2093</v>
      </c>
      <c r="G307">
        <v>10034</v>
      </c>
      <c r="K307">
        <v>1</v>
      </c>
      <c r="L307">
        <v>0</v>
      </c>
      <c r="M307">
        <v>59.31</v>
      </c>
    </row>
    <row r="308" spans="1:13">
      <c r="A308" s="1">
        <f>HYPERLINK("https://lsnyc.legalserver.org/matter/dynamic-profile/view/1867423","18-1867423")</f>
        <v>0</v>
      </c>
      <c r="B308" t="s">
        <v>13</v>
      </c>
      <c r="C308" t="s">
        <v>227</v>
      </c>
      <c r="D308" t="s">
        <v>925</v>
      </c>
      <c r="E308" t="s">
        <v>1638</v>
      </c>
      <c r="F308" t="s">
        <v>2090</v>
      </c>
      <c r="G308">
        <v>10301</v>
      </c>
      <c r="K308">
        <v>1</v>
      </c>
      <c r="L308">
        <v>0</v>
      </c>
      <c r="M308">
        <v>59.31</v>
      </c>
    </row>
    <row r="309" spans="1:13">
      <c r="A309" s="1">
        <f>HYPERLINK("https://lsnyc.legalserver.org/matter/dynamic-profile/view/1863781","18-1863781")</f>
        <v>0</v>
      </c>
      <c r="B309" t="s">
        <v>13</v>
      </c>
      <c r="C309" t="s">
        <v>228</v>
      </c>
      <c r="D309" t="s">
        <v>909</v>
      </c>
      <c r="E309" t="s">
        <v>1623</v>
      </c>
      <c r="F309" t="s">
        <v>2093</v>
      </c>
      <c r="G309">
        <v>10033</v>
      </c>
      <c r="K309">
        <v>4</v>
      </c>
      <c r="L309">
        <v>0</v>
      </c>
      <c r="M309">
        <v>59.36</v>
      </c>
    </row>
    <row r="310" spans="1:13">
      <c r="A310" s="1">
        <f>HYPERLINK("https://lsnyc.legalserver.org/matter/dynamic-profile/view/1854344","17-1854344")</f>
        <v>0</v>
      </c>
      <c r="B310" t="s">
        <v>13</v>
      </c>
      <c r="C310" t="s">
        <v>229</v>
      </c>
      <c r="D310" t="s">
        <v>926</v>
      </c>
      <c r="E310" t="s">
        <v>1639</v>
      </c>
      <c r="F310" t="s">
        <v>2090</v>
      </c>
      <c r="G310">
        <v>10301</v>
      </c>
      <c r="K310">
        <v>1</v>
      </c>
      <c r="L310">
        <v>0</v>
      </c>
      <c r="M310">
        <v>59.7</v>
      </c>
    </row>
    <row r="311" spans="1:13">
      <c r="A311" s="1">
        <f>HYPERLINK("https://lsnyc.legalserver.org/matter/dynamic-profile/view/1838874","17-1838874")</f>
        <v>0</v>
      </c>
      <c r="B311" t="s">
        <v>13</v>
      </c>
      <c r="C311" t="s">
        <v>230</v>
      </c>
      <c r="D311" t="s">
        <v>927</v>
      </c>
      <c r="E311" t="s">
        <v>1640</v>
      </c>
      <c r="F311" t="s">
        <v>2091</v>
      </c>
      <c r="G311">
        <v>11233</v>
      </c>
      <c r="K311">
        <v>1</v>
      </c>
      <c r="L311">
        <v>0</v>
      </c>
      <c r="M311">
        <v>59.7</v>
      </c>
    </row>
    <row r="312" spans="1:13">
      <c r="A312" s="1">
        <f>HYPERLINK("https://lsnyc.legalserver.org/matter/dynamic-profile/view/0796290","16-0796290")</f>
        <v>0</v>
      </c>
      <c r="B312" t="s">
        <v>13</v>
      </c>
      <c r="C312" t="s">
        <v>231</v>
      </c>
      <c r="D312" t="s">
        <v>928</v>
      </c>
      <c r="E312" t="s">
        <v>1641</v>
      </c>
      <c r="F312" t="s">
        <v>2090</v>
      </c>
      <c r="G312">
        <v>10304</v>
      </c>
      <c r="K312">
        <v>2</v>
      </c>
      <c r="L312">
        <v>0</v>
      </c>
      <c r="M312">
        <v>59.89</v>
      </c>
    </row>
    <row r="313" spans="1:13">
      <c r="A313" s="1">
        <f>HYPERLINK("https://lsnyc.legalserver.org/matter/dynamic-profile/view/0822772","16-0822772")</f>
        <v>0</v>
      </c>
      <c r="B313" t="s">
        <v>13</v>
      </c>
      <c r="C313" t="s">
        <v>232</v>
      </c>
      <c r="D313" t="s">
        <v>929</v>
      </c>
      <c r="E313" t="s">
        <v>1642</v>
      </c>
      <c r="F313" t="s">
        <v>2091</v>
      </c>
      <c r="G313">
        <v>11212</v>
      </c>
      <c r="K313">
        <v>2</v>
      </c>
      <c r="L313">
        <v>0</v>
      </c>
      <c r="M313">
        <v>59.93</v>
      </c>
    </row>
    <row r="314" spans="1:13">
      <c r="A314" s="1">
        <f>HYPERLINK("https://lsnyc.legalserver.org/matter/dynamic-profile/view/1847819","17-1847819")</f>
        <v>0</v>
      </c>
      <c r="B314" t="s">
        <v>13</v>
      </c>
      <c r="C314" t="s">
        <v>111</v>
      </c>
      <c r="D314" t="s">
        <v>813</v>
      </c>
      <c r="E314" t="s">
        <v>1526</v>
      </c>
      <c r="F314" t="s">
        <v>2092</v>
      </c>
      <c r="G314">
        <v>11355</v>
      </c>
      <c r="K314">
        <v>1</v>
      </c>
      <c r="L314">
        <v>0</v>
      </c>
      <c r="M314">
        <v>60.36</v>
      </c>
    </row>
    <row r="315" spans="1:13">
      <c r="A315" s="1">
        <f>HYPERLINK("https://lsnyc.legalserver.org/matter/dynamic-profile/view/1834799","17-1834799")</f>
        <v>0</v>
      </c>
      <c r="B315" t="s">
        <v>13</v>
      </c>
      <c r="C315" t="s">
        <v>228</v>
      </c>
      <c r="D315" t="s">
        <v>909</v>
      </c>
      <c r="E315" t="s">
        <v>1623</v>
      </c>
      <c r="F315" t="s">
        <v>2093</v>
      </c>
      <c r="G315">
        <v>10033</v>
      </c>
      <c r="K315">
        <v>4</v>
      </c>
      <c r="L315">
        <v>0</v>
      </c>
      <c r="M315">
        <v>60.57</v>
      </c>
    </row>
    <row r="316" spans="1:13">
      <c r="A316" s="1">
        <f>HYPERLINK("https://lsnyc.legalserver.org/matter/dynamic-profile/view/1858938","18-1858938")</f>
        <v>0</v>
      </c>
      <c r="B316" t="s">
        <v>13</v>
      </c>
      <c r="C316" t="s">
        <v>233</v>
      </c>
      <c r="D316" t="s">
        <v>930</v>
      </c>
      <c r="E316" t="s">
        <v>1643</v>
      </c>
      <c r="F316" t="s">
        <v>2091</v>
      </c>
      <c r="G316">
        <v>11229</v>
      </c>
      <c r="K316">
        <v>2</v>
      </c>
      <c r="L316">
        <v>0</v>
      </c>
      <c r="M316">
        <v>60.59</v>
      </c>
    </row>
    <row r="317" spans="1:13">
      <c r="A317" s="1">
        <f>HYPERLINK("https://lsnyc.legalserver.org/matter/dynamic-profile/view/1844625","17-1844625")</f>
        <v>0</v>
      </c>
      <c r="B317" t="s">
        <v>13</v>
      </c>
      <c r="C317" t="s">
        <v>234</v>
      </c>
      <c r="D317" t="s">
        <v>931</v>
      </c>
      <c r="E317" t="s">
        <v>1490</v>
      </c>
      <c r="F317" t="s">
        <v>2091</v>
      </c>
      <c r="G317">
        <v>11208</v>
      </c>
      <c r="K317">
        <v>2</v>
      </c>
      <c r="L317">
        <v>0</v>
      </c>
      <c r="M317">
        <v>60.59</v>
      </c>
    </row>
    <row r="318" spans="1:13">
      <c r="A318" s="1">
        <f>HYPERLINK("https://lsnyc.legalserver.org/matter/dynamic-profile/view/0801379","16-0801379")</f>
        <v>0</v>
      </c>
      <c r="B318" t="s">
        <v>13</v>
      </c>
      <c r="C318" t="s">
        <v>235</v>
      </c>
      <c r="D318" t="s">
        <v>932</v>
      </c>
      <c r="E318" t="s">
        <v>1644</v>
      </c>
      <c r="F318" t="s">
        <v>2089</v>
      </c>
      <c r="G318">
        <v>10453</v>
      </c>
      <c r="K318">
        <v>1</v>
      </c>
      <c r="L318">
        <v>0</v>
      </c>
      <c r="M318">
        <v>60.61</v>
      </c>
    </row>
    <row r="319" spans="1:13">
      <c r="A319" s="1">
        <f>HYPERLINK("https://lsnyc.legalserver.org/matter/dynamic-profile/view/1867088","18-1867088")</f>
        <v>0</v>
      </c>
      <c r="B319" t="s">
        <v>13</v>
      </c>
      <c r="C319" t="s">
        <v>186</v>
      </c>
      <c r="D319" t="s">
        <v>888</v>
      </c>
      <c r="E319" t="s">
        <v>1448</v>
      </c>
      <c r="F319" t="s">
        <v>2091</v>
      </c>
      <c r="G319">
        <v>11212</v>
      </c>
      <c r="K319">
        <v>2</v>
      </c>
      <c r="L319">
        <v>0</v>
      </c>
      <c r="M319">
        <v>60.73</v>
      </c>
    </row>
    <row r="320" spans="1:13">
      <c r="A320" s="1">
        <f>HYPERLINK("https://lsnyc.legalserver.org/matter/dynamic-profile/view/0829286","17-0829286")</f>
        <v>0</v>
      </c>
      <c r="B320" t="s">
        <v>13</v>
      </c>
      <c r="C320" t="s">
        <v>155</v>
      </c>
      <c r="D320" t="s">
        <v>933</v>
      </c>
      <c r="E320" t="s">
        <v>1645</v>
      </c>
      <c r="F320" t="s">
        <v>2089</v>
      </c>
      <c r="G320">
        <v>10452</v>
      </c>
      <c r="K320">
        <v>2</v>
      </c>
      <c r="L320">
        <v>0</v>
      </c>
      <c r="M320">
        <v>60.84</v>
      </c>
    </row>
    <row r="321" spans="1:13">
      <c r="A321" s="1">
        <f>HYPERLINK("https://lsnyc.legalserver.org/matter/dynamic-profile/view/0825664","17-0825664")</f>
        <v>0</v>
      </c>
      <c r="B321" t="s">
        <v>13</v>
      </c>
      <c r="C321" t="s">
        <v>236</v>
      </c>
      <c r="D321" t="s">
        <v>934</v>
      </c>
      <c r="E321" t="s">
        <v>1646</v>
      </c>
      <c r="F321" t="s">
        <v>2093</v>
      </c>
      <c r="G321">
        <v>10029</v>
      </c>
      <c r="K321">
        <v>2</v>
      </c>
      <c r="L321">
        <v>0</v>
      </c>
      <c r="M321">
        <v>60.9</v>
      </c>
    </row>
    <row r="322" spans="1:13">
      <c r="A322" s="1">
        <f>HYPERLINK("https://lsnyc.legalserver.org/matter/dynamic-profile/view/1836069","17-1836069")</f>
        <v>0</v>
      </c>
      <c r="B322" t="s">
        <v>13</v>
      </c>
      <c r="C322" t="s">
        <v>186</v>
      </c>
      <c r="D322" t="s">
        <v>888</v>
      </c>
      <c r="E322" t="s">
        <v>1448</v>
      </c>
      <c r="F322" t="s">
        <v>2091</v>
      </c>
      <c r="G322">
        <v>11212</v>
      </c>
      <c r="K322">
        <v>2</v>
      </c>
      <c r="L322">
        <v>0</v>
      </c>
      <c r="M322">
        <v>61.55</v>
      </c>
    </row>
    <row r="323" spans="1:13">
      <c r="A323" s="1">
        <f>HYPERLINK("https://lsnyc.legalserver.org/matter/dynamic-profile/view/1863294","18-1863294")</f>
        <v>0</v>
      </c>
      <c r="B323" t="s">
        <v>13</v>
      </c>
      <c r="C323" t="s">
        <v>237</v>
      </c>
      <c r="D323" t="s">
        <v>935</v>
      </c>
      <c r="E323" t="s">
        <v>1647</v>
      </c>
      <c r="F323" t="s">
        <v>2090</v>
      </c>
      <c r="G323">
        <v>10314</v>
      </c>
      <c r="K323">
        <v>1</v>
      </c>
      <c r="L323">
        <v>0</v>
      </c>
      <c r="M323">
        <v>61.69</v>
      </c>
    </row>
    <row r="324" spans="1:13">
      <c r="A324" s="1">
        <f>HYPERLINK("https://lsnyc.legalserver.org/matter/dynamic-profile/view/0812223","16-0812223")</f>
        <v>0</v>
      </c>
      <c r="B324" t="s">
        <v>13</v>
      </c>
      <c r="C324" t="s">
        <v>238</v>
      </c>
      <c r="D324" t="s">
        <v>936</v>
      </c>
      <c r="E324" t="s">
        <v>1648</v>
      </c>
      <c r="F324" t="s">
        <v>2089</v>
      </c>
      <c r="G324">
        <v>10451</v>
      </c>
      <c r="K324">
        <v>3</v>
      </c>
      <c r="L324">
        <v>0</v>
      </c>
      <c r="M324">
        <v>61.78</v>
      </c>
    </row>
    <row r="325" spans="1:13">
      <c r="A325" s="1">
        <f>HYPERLINK("https://lsnyc.legalserver.org/matter/dynamic-profile/view/1865029","18-1865029")</f>
        <v>0</v>
      </c>
      <c r="B325" t="s">
        <v>13</v>
      </c>
      <c r="C325" t="s">
        <v>239</v>
      </c>
      <c r="D325" t="s">
        <v>937</v>
      </c>
      <c r="E325" t="s">
        <v>1649</v>
      </c>
      <c r="F325" t="s">
        <v>2090</v>
      </c>
      <c r="G325">
        <v>10314</v>
      </c>
      <c r="K325">
        <v>1</v>
      </c>
      <c r="L325">
        <v>0</v>
      </c>
      <c r="M325">
        <v>61.78</v>
      </c>
    </row>
    <row r="326" spans="1:13">
      <c r="A326" s="1">
        <f>HYPERLINK("https://lsnyc.legalserver.org/matter/dynamic-profile/view/1858880","18-1858880")</f>
        <v>0</v>
      </c>
      <c r="B326" t="s">
        <v>13</v>
      </c>
      <c r="C326" t="s">
        <v>240</v>
      </c>
      <c r="D326" t="s">
        <v>938</v>
      </c>
      <c r="E326" t="s">
        <v>1650</v>
      </c>
      <c r="F326" t="s">
        <v>2091</v>
      </c>
      <c r="G326">
        <v>11239</v>
      </c>
      <c r="K326">
        <v>2</v>
      </c>
      <c r="L326">
        <v>0</v>
      </c>
      <c r="M326">
        <v>62</v>
      </c>
    </row>
    <row r="327" spans="1:13">
      <c r="A327" s="1">
        <f>HYPERLINK("https://lsnyc.legalserver.org/matter/dynamic-profile/view/1871730","18-1871730")</f>
        <v>0</v>
      </c>
      <c r="B327" t="s">
        <v>13</v>
      </c>
      <c r="C327" t="s">
        <v>106</v>
      </c>
      <c r="D327" t="s">
        <v>738</v>
      </c>
      <c r="E327" t="s">
        <v>1584</v>
      </c>
      <c r="F327" t="s">
        <v>2091</v>
      </c>
      <c r="G327">
        <v>11206</v>
      </c>
      <c r="K327">
        <v>2</v>
      </c>
      <c r="L327">
        <v>0</v>
      </c>
      <c r="M327">
        <v>62.11</v>
      </c>
    </row>
    <row r="328" spans="1:13">
      <c r="A328" s="1">
        <f>HYPERLINK("https://lsnyc.legalserver.org/matter/dynamic-profile/view/1857222","18-1857222")</f>
        <v>0</v>
      </c>
      <c r="B328" t="s">
        <v>13</v>
      </c>
      <c r="C328" t="s">
        <v>106</v>
      </c>
      <c r="D328" t="s">
        <v>738</v>
      </c>
      <c r="E328" t="s">
        <v>1584</v>
      </c>
      <c r="F328" t="s">
        <v>2091</v>
      </c>
      <c r="G328">
        <v>11206</v>
      </c>
      <c r="K328">
        <v>2</v>
      </c>
      <c r="L328">
        <v>0</v>
      </c>
      <c r="M328">
        <v>62.11</v>
      </c>
    </row>
    <row r="329" spans="1:13">
      <c r="A329" s="1">
        <f>HYPERLINK("https://lsnyc.legalserver.org/matter/dynamic-profile/view/0832581","17-0832581")</f>
        <v>0</v>
      </c>
      <c r="B329" t="s">
        <v>13</v>
      </c>
      <c r="C329" t="s">
        <v>241</v>
      </c>
      <c r="D329" t="s">
        <v>735</v>
      </c>
      <c r="E329" t="s">
        <v>1592</v>
      </c>
      <c r="F329" t="s">
        <v>2093</v>
      </c>
      <c r="G329">
        <v>10032</v>
      </c>
      <c r="K329">
        <v>2</v>
      </c>
      <c r="L329">
        <v>0</v>
      </c>
      <c r="M329">
        <v>62.14</v>
      </c>
    </row>
    <row r="330" spans="1:13">
      <c r="A330" s="1">
        <f>HYPERLINK("https://lsnyc.legalserver.org/matter/dynamic-profile/view/1864009","18-1864009")</f>
        <v>0</v>
      </c>
      <c r="B330" t="s">
        <v>13</v>
      </c>
      <c r="C330" t="s">
        <v>242</v>
      </c>
      <c r="D330" t="s">
        <v>939</v>
      </c>
      <c r="E330" t="s">
        <v>1466</v>
      </c>
      <c r="F330" t="s">
        <v>2091</v>
      </c>
      <c r="G330">
        <v>11225</v>
      </c>
      <c r="K330">
        <v>4</v>
      </c>
      <c r="L330">
        <v>0</v>
      </c>
      <c r="M330">
        <v>62.15</v>
      </c>
    </row>
    <row r="331" spans="1:13">
      <c r="A331" s="1">
        <f>HYPERLINK("https://lsnyc.legalserver.org/matter/dynamic-profile/view/1887830","19-1887830")</f>
        <v>0</v>
      </c>
      <c r="B331" t="s">
        <v>13</v>
      </c>
      <c r="C331" t="s">
        <v>242</v>
      </c>
      <c r="D331" t="s">
        <v>939</v>
      </c>
      <c r="E331" t="s">
        <v>1466</v>
      </c>
      <c r="F331" t="s">
        <v>2091</v>
      </c>
      <c r="G331">
        <v>11225</v>
      </c>
      <c r="K331">
        <v>4</v>
      </c>
      <c r="L331">
        <v>0</v>
      </c>
      <c r="M331">
        <v>62.15</v>
      </c>
    </row>
    <row r="332" spans="1:13">
      <c r="A332" s="1">
        <f>HYPERLINK("https://lsnyc.legalserver.org/matter/dynamic-profile/view/1869439","18-1869439")</f>
        <v>0</v>
      </c>
      <c r="B332" t="s">
        <v>13</v>
      </c>
      <c r="C332" t="s">
        <v>243</v>
      </c>
      <c r="D332" t="s">
        <v>940</v>
      </c>
      <c r="E332" t="s">
        <v>1651</v>
      </c>
      <c r="F332" t="s">
        <v>2089</v>
      </c>
      <c r="G332">
        <v>10453</v>
      </c>
      <c r="K332">
        <v>4</v>
      </c>
      <c r="L332">
        <v>0</v>
      </c>
      <c r="M332">
        <v>62.15</v>
      </c>
    </row>
    <row r="333" spans="1:13">
      <c r="A333" s="1">
        <f>HYPERLINK("https://lsnyc.legalserver.org/matter/dynamic-profile/view/1868777","18-1868777")</f>
        <v>0</v>
      </c>
      <c r="B333" t="s">
        <v>13</v>
      </c>
      <c r="C333" t="s">
        <v>243</v>
      </c>
      <c r="D333" t="s">
        <v>940</v>
      </c>
      <c r="E333" t="s">
        <v>1651</v>
      </c>
      <c r="F333" t="s">
        <v>2089</v>
      </c>
      <c r="G333">
        <v>10453</v>
      </c>
      <c r="K333">
        <v>4</v>
      </c>
      <c r="L333">
        <v>0</v>
      </c>
      <c r="M333">
        <v>62.15</v>
      </c>
    </row>
    <row r="334" spans="1:13">
      <c r="A334" s="1">
        <f>HYPERLINK("https://lsnyc.legalserver.org/matter/dynamic-profile/view/1864457","18-1864457")</f>
        <v>0</v>
      </c>
      <c r="B334" t="s">
        <v>13</v>
      </c>
      <c r="C334" t="s">
        <v>173</v>
      </c>
      <c r="D334" t="s">
        <v>836</v>
      </c>
      <c r="E334" t="s">
        <v>1652</v>
      </c>
      <c r="F334" t="s">
        <v>2093</v>
      </c>
      <c r="G334">
        <v>10032</v>
      </c>
      <c r="K334">
        <v>3</v>
      </c>
      <c r="L334">
        <v>0</v>
      </c>
      <c r="M334">
        <v>62.48</v>
      </c>
    </row>
    <row r="335" spans="1:13">
      <c r="A335" s="1">
        <f>HYPERLINK("https://lsnyc.legalserver.org/matter/dynamic-profile/view/1860509","18-1860509")</f>
        <v>0</v>
      </c>
      <c r="B335" t="s">
        <v>13</v>
      </c>
      <c r="C335" t="s">
        <v>244</v>
      </c>
      <c r="D335" t="s">
        <v>941</v>
      </c>
      <c r="E335" t="s">
        <v>1653</v>
      </c>
      <c r="F335" t="s">
        <v>2091</v>
      </c>
      <c r="G335">
        <v>11233</v>
      </c>
      <c r="K335">
        <v>3</v>
      </c>
      <c r="L335">
        <v>0</v>
      </c>
      <c r="M335">
        <v>62.56</v>
      </c>
    </row>
    <row r="336" spans="1:13">
      <c r="A336" s="1">
        <f>HYPERLINK("https://lsnyc.legalserver.org/matter/dynamic-profile/view/0824384","17-0824384")</f>
        <v>0</v>
      </c>
      <c r="B336" t="s">
        <v>13</v>
      </c>
      <c r="C336" t="s">
        <v>183</v>
      </c>
      <c r="D336" t="s">
        <v>942</v>
      </c>
      <c r="E336" t="s">
        <v>1654</v>
      </c>
      <c r="F336" t="s">
        <v>2093</v>
      </c>
      <c r="G336">
        <v>10029</v>
      </c>
      <c r="K336">
        <v>2</v>
      </c>
      <c r="L336">
        <v>0</v>
      </c>
      <c r="M336">
        <v>62.92</v>
      </c>
    </row>
    <row r="337" spans="1:13">
      <c r="A337" s="1">
        <f>HYPERLINK("https://lsnyc.legalserver.org/matter/dynamic-profile/view/1871292","18-1871292")</f>
        <v>0</v>
      </c>
      <c r="B337" t="s">
        <v>13</v>
      </c>
      <c r="C337" t="s">
        <v>245</v>
      </c>
      <c r="D337" t="s">
        <v>943</v>
      </c>
      <c r="E337" t="s">
        <v>1655</v>
      </c>
      <c r="F337" t="s">
        <v>2091</v>
      </c>
      <c r="G337">
        <v>11225</v>
      </c>
      <c r="K337">
        <v>2</v>
      </c>
      <c r="L337">
        <v>0</v>
      </c>
      <c r="M337">
        <v>62.92</v>
      </c>
    </row>
    <row r="338" spans="1:13">
      <c r="A338" s="1">
        <f>HYPERLINK("https://lsnyc.legalserver.org/matter/dynamic-profile/view/1849214","17-1849214")</f>
        <v>0</v>
      </c>
      <c r="B338" t="s">
        <v>13</v>
      </c>
      <c r="C338" t="s">
        <v>106</v>
      </c>
      <c r="D338" t="s">
        <v>738</v>
      </c>
      <c r="E338" t="s">
        <v>1584</v>
      </c>
      <c r="F338" t="s">
        <v>2091</v>
      </c>
      <c r="G338">
        <v>11206</v>
      </c>
      <c r="K338">
        <v>2</v>
      </c>
      <c r="L338">
        <v>0</v>
      </c>
      <c r="M338">
        <v>62.96</v>
      </c>
    </row>
    <row r="339" spans="1:13">
      <c r="A339" s="1">
        <f>HYPERLINK("https://lsnyc.legalserver.org/matter/dynamic-profile/view/1838580","17-1838580")</f>
        <v>0</v>
      </c>
      <c r="B339" t="s">
        <v>13</v>
      </c>
      <c r="C339" t="s">
        <v>246</v>
      </c>
      <c r="D339" t="s">
        <v>944</v>
      </c>
      <c r="E339" t="s">
        <v>1609</v>
      </c>
      <c r="F339" t="s">
        <v>2093</v>
      </c>
      <c r="G339">
        <v>10034</v>
      </c>
      <c r="K339">
        <v>4</v>
      </c>
      <c r="L339">
        <v>0</v>
      </c>
      <c r="M339">
        <v>63.41</v>
      </c>
    </row>
    <row r="340" spans="1:13">
      <c r="A340" s="1">
        <f>HYPERLINK("https://lsnyc.legalserver.org/matter/dynamic-profile/view/1847796","17-1847796")</f>
        <v>0</v>
      </c>
      <c r="B340" t="s">
        <v>13</v>
      </c>
      <c r="C340" t="s">
        <v>247</v>
      </c>
      <c r="D340" t="s">
        <v>945</v>
      </c>
      <c r="E340" t="s">
        <v>1656</v>
      </c>
      <c r="F340" t="s">
        <v>2091</v>
      </c>
      <c r="G340">
        <v>11214</v>
      </c>
      <c r="K340">
        <v>1</v>
      </c>
      <c r="L340">
        <v>0</v>
      </c>
      <c r="M340">
        <v>63.73</v>
      </c>
    </row>
    <row r="341" spans="1:13">
      <c r="A341" s="1">
        <f>HYPERLINK("https://lsnyc.legalserver.org/matter/dynamic-profile/view/1856806","18-1856806")</f>
        <v>0</v>
      </c>
      <c r="B341" t="s">
        <v>13</v>
      </c>
      <c r="C341" t="s">
        <v>106</v>
      </c>
      <c r="D341" t="s">
        <v>946</v>
      </c>
      <c r="E341" t="s">
        <v>1657</v>
      </c>
      <c r="F341" t="s">
        <v>2091</v>
      </c>
      <c r="G341">
        <v>11215</v>
      </c>
      <c r="K341">
        <v>2</v>
      </c>
      <c r="L341">
        <v>0</v>
      </c>
      <c r="M341">
        <v>63.92</v>
      </c>
    </row>
    <row r="342" spans="1:13">
      <c r="A342" s="1">
        <f>HYPERLINK("https://lsnyc.legalserver.org/matter/dynamic-profile/view/0830692","17-0830692")</f>
        <v>0</v>
      </c>
      <c r="B342" t="s">
        <v>13</v>
      </c>
      <c r="C342" t="s">
        <v>248</v>
      </c>
      <c r="D342" t="s">
        <v>836</v>
      </c>
      <c r="E342" t="s">
        <v>1658</v>
      </c>
      <c r="F342" t="s">
        <v>2090</v>
      </c>
      <c r="G342">
        <v>10301</v>
      </c>
      <c r="K342">
        <v>2</v>
      </c>
      <c r="L342">
        <v>0</v>
      </c>
      <c r="M342">
        <v>64.06</v>
      </c>
    </row>
    <row r="343" spans="1:13">
      <c r="A343" s="1">
        <f>HYPERLINK("https://lsnyc.legalserver.org/matter/dynamic-profile/view/0815031","16-0815031")</f>
        <v>0</v>
      </c>
      <c r="B343" t="s">
        <v>13</v>
      </c>
      <c r="C343" t="s">
        <v>249</v>
      </c>
      <c r="D343" t="s">
        <v>947</v>
      </c>
      <c r="E343" t="s">
        <v>1659</v>
      </c>
      <c r="F343" t="s">
        <v>2091</v>
      </c>
      <c r="G343">
        <v>11207</v>
      </c>
      <c r="K343">
        <v>3</v>
      </c>
      <c r="L343">
        <v>0</v>
      </c>
      <c r="M343">
        <v>64.09</v>
      </c>
    </row>
    <row r="344" spans="1:13">
      <c r="A344" s="1">
        <f>HYPERLINK("https://lsnyc.legalserver.org/matter/dynamic-profile/view/1863994","18-1863994")</f>
        <v>0</v>
      </c>
      <c r="B344" t="s">
        <v>13</v>
      </c>
      <c r="C344" t="s">
        <v>250</v>
      </c>
      <c r="D344" t="s">
        <v>948</v>
      </c>
      <c r="E344" t="s">
        <v>1512</v>
      </c>
      <c r="F344" t="s">
        <v>2093</v>
      </c>
      <c r="G344">
        <v>10029</v>
      </c>
      <c r="K344">
        <v>2</v>
      </c>
      <c r="L344">
        <v>0</v>
      </c>
      <c r="M344">
        <v>64.23</v>
      </c>
    </row>
    <row r="345" spans="1:13">
      <c r="A345" s="1">
        <f>HYPERLINK("https://lsnyc.legalserver.org/matter/dynamic-profile/view/1871002","18-1871002")</f>
        <v>0</v>
      </c>
      <c r="B345" t="s">
        <v>13</v>
      </c>
      <c r="C345" t="s">
        <v>251</v>
      </c>
      <c r="D345" t="s">
        <v>949</v>
      </c>
      <c r="E345" t="s">
        <v>1660</v>
      </c>
      <c r="F345" t="s">
        <v>2090</v>
      </c>
      <c r="G345">
        <v>10301</v>
      </c>
      <c r="K345">
        <v>1</v>
      </c>
      <c r="L345">
        <v>0</v>
      </c>
      <c r="M345">
        <v>64.25</v>
      </c>
    </row>
    <row r="346" spans="1:13">
      <c r="A346" s="1">
        <f>HYPERLINK("https://lsnyc.legalserver.org/matter/dynamic-profile/view/1863798","18-1863798")</f>
        <v>0</v>
      </c>
      <c r="B346" t="s">
        <v>13</v>
      </c>
      <c r="C346" t="s">
        <v>251</v>
      </c>
      <c r="D346" t="s">
        <v>949</v>
      </c>
      <c r="E346" t="s">
        <v>1660</v>
      </c>
      <c r="F346" t="s">
        <v>2090</v>
      </c>
      <c r="G346">
        <v>10301</v>
      </c>
      <c r="K346">
        <v>1</v>
      </c>
      <c r="L346">
        <v>0</v>
      </c>
      <c r="M346">
        <v>64.25</v>
      </c>
    </row>
    <row r="347" spans="1:13">
      <c r="A347" s="1">
        <f>HYPERLINK("https://lsnyc.legalserver.org/matter/dynamic-profile/view/1855866","18-1855866")</f>
        <v>0</v>
      </c>
      <c r="B347" t="s">
        <v>13</v>
      </c>
      <c r="C347" t="s">
        <v>77</v>
      </c>
      <c r="D347" t="s">
        <v>950</v>
      </c>
      <c r="E347" t="s">
        <v>1661</v>
      </c>
      <c r="F347" t="s">
        <v>2091</v>
      </c>
      <c r="G347">
        <v>11237</v>
      </c>
      <c r="K347">
        <v>1</v>
      </c>
      <c r="L347">
        <v>0</v>
      </c>
      <c r="M347">
        <v>64.55</v>
      </c>
    </row>
    <row r="348" spans="1:13">
      <c r="A348" s="1">
        <f>HYPERLINK("https://lsnyc.legalserver.org/matter/dynamic-profile/view/1847527","17-1847527")</f>
        <v>0</v>
      </c>
      <c r="B348" t="s">
        <v>13</v>
      </c>
      <c r="C348" t="s">
        <v>252</v>
      </c>
      <c r="D348" t="s">
        <v>951</v>
      </c>
      <c r="E348" t="s">
        <v>1662</v>
      </c>
      <c r="F348" t="s">
        <v>2089</v>
      </c>
      <c r="G348">
        <v>10452</v>
      </c>
      <c r="K348">
        <v>1</v>
      </c>
      <c r="L348">
        <v>0</v>
      </c>
      <c r="M348">
        <v>64.68000000000001</v>
      </c>
    </row>
    <row r="349" spans="1:13">
      <c r="A349" s="1">
        <f>HYPERLINK("https://lsnyc.legalserver.org/matter/dynamic-profile/view/1839599","17-1839599")</f>
        <v>0</v>
      </c>
      <c r="B349" t="s">
        <v>14</v>
      </c>
      <c r="C349" t="s">
        <v>253</v>
      </c>
      <c r="D349" t="s">
        <v>952</v>
      </c>
      <c r="E349" t="s">
        <v>1663</v>
      </c>
      <c r="F349" t="s">
        <v>2093</v>
      </c>
      <c r="G349">
        <v>10128</v>
      </c>
      <c r="K349">
        <v>1</v>
      </c>
      <c r="L349">
        <v>0</v>
      </c>
      <c r="M349">
        <v>64.68000000000001</v>
      </c>
    </row>
    <row r="350" spans="1:13">
      <c r="A350" s="1">
        <f>HYPERLINK("https://lsnyc.legalserver.org/matter/dynamic-profile/view/1848579","17-1848579")</f>
        <v>0</v>
      </c>
      <c r="B350" t="s">
        <v>13</v>
      </c>
      <c r="C350" t="s">
        <v>254</v>
      </c>
      <c r="D350" t="s">
        <v>953</v>
      </c>
      <c r="E350" t="s">
        <v>1619</v>
      </c>
      <c r="F350" t="s">
        <v>2091</v>
      </c>
      <c r="G350">
        <v>11206</v>
      </c>
      <c r="K350">
        <v>2</v>
      </c>
      <c r="L350">
        <v>0</v>
      </c>
      <c r="M350">
        <v>64.8</v>
      </c>
    </row>
    <row r="351" spans="1:13">
      <c r="A351" s="1">
        <f>HYPERLINK("https://lsnyc.legalserver.org/matter/dynamic-profile/view/1855943","18-1855943")</f>
        <v>0</v>
      </c>
      <c r="B351" t="s">
        <v>13</v>
      </c>
      <c r="C351" t="s">
        <v>77</v>
      </c>
      <c r="D351" t="s">
        <v>950</v>
      </c>
      <c r="E351" t="s">
        <v>1661</v>
      </c>
      <c r="F351" t="s">
        <v>2091</v>
      </c>
      <c r="G351">
        <v>11237</v>
      </c>
      <c r="K351">
        <v>1</v>
      </c>
      <c r="L351">
        <v>0</v>
      </c>
      <c r="M351">
        <v>64.98</v>
      </c>
    </row>
    <row r="352" spans="1:13">
      <c r="A352" s="1">
        <f>HYPERLINK("https://lsnyc.legalserver.org/matter/dynamic-profile/view/0805678","16-0805678")</f>
        <v>0</v>
      </c>
      <c r="B352" t="s">
        <v>13</v>
      </c>
      <c r="C352" t="s">
        <v>39</v>
      </c>
      <c r="D352" t="s">
        <v>954</v>
      </c>
      <c r="E352" t="s">
        <v>1449</v>
      </c>
      <c r="F352" t="s">
        <v>2089</v>
      </c>
      <c r="G352">
        <v>10451</v>
      </c>
      <c r="K352">
        <v>1</v>
      </c>
      <c r="L352">
        <v>0</v>
      </c>
      <c r="M352">
        <v>65.22</v>
      </c>
    </row>
    <row r="353" spans="1:13">
      <c r="A353" s="1">
        <f>HYPERLINK("https://lsnyc.legalserver.org/matter/dynamic-profile/view/0808978","16-0808978")</f>
        <v>0</v>
      </c>
      <c r="B353" t="s">
        <v>13</v>
      </c>
      <c r="C353" t="s">
        <v>39</v>
      </c>
      <c r="D353" t="s">
        <v>954</v>
      </c>
      <c r="E353" t="s">
        <v>1449</v>
      </c>
      <c r="F353" t="s">
        <v>2089</v>
      </c>
      <c r="G353">
        <v>10451</v>
      </c>
      <c r="K353">
        <v>1</v>
      </c>
      <c r="L353">
        <v>0</v>
      </c>
      <c r="M353">
        <v>65.22</v>
      </c>
    </row>
    <row r="354" spans="1:13">
      <c r="A354" s="1">
        <f>HYPERLINK("https://lsnyc.legalserver.org/matter/dynamic-profile/view/1838062","17-1838062")</f>
        <v>0</v>
      </c>
      <c r="B354" t="s">
        <v>13</v>
      </c>
      <c r="C354" t="s">
        <v>255</v>
      </c>
      <c r="D354" t="s">
        <v>955</v>
      </c>
      <c r="E354" t="s">
        <v>1664</v>
      </c>
      <c r="F354" t="s">
        <v>2092</v>
      </c>
      <c r="G354">
        <v>11355</v>
      </c>
      <c r="K354">
        <v>2</v>
      </c>
      <c r="L354">
        <v>0</v>
      </c>
      <c r="M354">
        <v>65.23</v>
      </c>
    </row>
    <row r="355" spans="1:13">
      <c r="A355" s="1">
        <f>HYPERLINK("https://lsnyc.legalserver.org/matter/dynamic-profile/view/1861974","18-1861974")</f>
        <v>0</v>
      </c>
      <c r="B355" t="s">
        <v>13</v>
      </c>
      <c r="C355" t="s">
        <v>256</v>
      </c>
      <c r="D355" t="s">
        <v>956</v>
      </c>
      <c r="E355" t="s">
        <v>1560</v>
      </c>
      <c r="F355" t="s">
        <v>2089</v>
      </c>
      <c r="G355">
        <v>10453</v>
      </c>
      <c r="K355">
        <v>1</v>
      </c>
      <c r="L355">
        <v>0</v>
      </c>
      <c r="M355">
        <v>65.23999999999999</v>
      </c>
    </row>
    <row r="356" spans="1:13">
      <c r="A356" s="1">
        <f>HYPERLINK("https://lsnyc.legalserver.org/matter/dynamic-profile/view/1860610","18-1860610")</f>
        <v>0</v>
      </c>
      <c r="B356" t="s">
        <v>13</v>
      </c>
      <c r="C356" t="s">
        <v>257</v>
      </c>
      <c r="D356" t="s">
        <v>957</v>
      </c>
      <c r="E356" t="s">
        <v>1602</v>
      </c>
      <c r="F356" t="s">
        <v>2093</v>
      </c>
      <c r="G356">
        <v>10031</v>
      </c>
      <c r="K356">
        <v>2</v>
      </c>
      <c r="L356">
        <v>0</v>
      </c>
      <c r="M356">
        <v>65.39</v>
      </c>
    </row>
    <row r="357" spans="1:13">
      <c r="A357" s="1">
        <f>HYPERLINK("https://lsnyc.legalserver.org/matter/dynamic-profile/view/1863708","18-1863708")</f>
        <v>0</v>
      </c>
      <c r="B357" t="s">
        <v>13</v>
      </c>
      <c r="C357" t="s">
        <v>258</v>
      </c>
      <c r="D357" t="s">
        <v>841</v>
      </c>
      <c r="E357" t="s">
        <v>1512</v>
      </c>
      <c r="F357" t="s">
        <v>2093</v>
      </c>
      <c r="G357">
        <v>10029</v>
      </c>
      <c r="K357">
        <v>2</v>
      </c>
      <c r="L357">
        <v>0</v>
      </c>
      <c r="M357">
        <v>65.39</v>
      </c>
    </row>
    <row r="358" spans="1:13">
      <c r="A358" s="1">
        <f>HYPERLINK("https://lsnyc.legalserver.org/matter/dynamic-profile/view/1857562","18-1857562")</f>
        <v>0</v>
      </c>
      <c r="B358" t="s">
        <v>13</v>
      </c>
      <c r="C358" t="s">
        <v>254</v>
      </c>
      <c r="D358" t="s">
        <v>953</v>
      </c>
      <c r="E358" t="s">
        <v>1619</v>
      </c>
      <c r="F358" t="s">
        <v>2091</v>
      </c>
      <c r="G358">
        <v>11206</v>
      </c>
      <c r="K358">
        <v>2</v>
      </c>
      <c r="L358">
        <v>0</v>
      </c>
      <c r="M358">
        <v>65.54000000000001</v>
      </c>
    </row>
    <row r="359" spans="1:13">
      <c r="A359" s="1">
        <f>HYPERLINK("https://lsnyc.legalserver.org/matter/dynamic-profile/view/1870252","18-1870252")</f>
        <v>0</v>
      </c>
      <c r="B359" t="s">
        <v>13</v>
      </c>
      <c r="C359" t="s">
        <v>259</v>
      </c>
      <c r="D359" t="s">
        <v>958</v>
      </c>
      <c r="E359" t="s">
        <v>1665</v>
      </c>
      <c r="F359" t="s">
        <v>2089</v>
      </c>
      <c r="G359">
        <v>10453</v>
      </c>
      <c r="K359">
        <v>1</v>
      </c>
      <c r="L359">
        <v>0</v>
      </c>
      <c r="M359">
        <v>65.63</v>
      </c>
    </row>
    <row r="360" spans="1:13">
      <c r="A360" s="1">
        <f>HYPERLINK("https://lsnyc.legalserver.org/matter/dynamic-profile/view/0818092","16-0818092")</f>
        <v>0</v>
      </c>
      <c r="B360" t="s">
        <v>13</v>
      </c>
      <c r="C360" t="s">
        <v>260</v>
      </c>
      <c r="D360" t="s">
        <v>713</v>
      </c>
      <c r="E360" t="s">
        <v>1578</v>
      </c>
      <c r="F360" t="s">
        <v>2093</v>
      </c>
      <c r="G360">
        <v>10029</v>
      </c>
      <c r="K360">
        <v>1</v>
      </c>
      <c r="L360">
        <v>0</v>
      </c>
      <c r="M360">
        <v>65.66</v>
      </c>
    </row>
    <row r="361" spans="1:13">
      <c r="A361" s="1">
        <f>HYPERLINK("https://lsnyc.legalserver.org/matter/dynamic-profile/view/1843444","17-1843444")</f>
        <v>0</v>
      </c>
      <c r="B361" t="s">
        <v>13</v>
      </c>
      <c r="C361" t="s">
        <v>261</v>
      </c>
      <c r="D361" t="s">
        <v>959</v>
      </c>
      <c r="E361" t="s">
        <v>1666</v>
      </c>
      <c r="F361" t="s">
        <v>2093</v>
      </c>
      <c r="G361">
        <v>10040</v>
      </c>
      <c r="K361">
        <v>1</v>
      </c>
      <c r="L361">
        <v>0</v>
      </c>
      <c r="M361">
        <v>65.67</v>
      </c>
    </row>
    <row r="362" spans="1:13">
      <c r="A362" s="1">
        <f>HYPERLINK("https://lsnyc.legalserver.org/matter/dynamic-profile/view/1835987","17-1835987")</f>
        <v>0</v>
      </c>
      <c r="B362" t="s">
        <v>13</v>
      </c>
      <c r="C362" t="s">
        <v>262</v>
      </c>
      <c r="D362" t="s">
        <v>960</v>
      </c>
      <c r="E362" t="s">
        <v>1667</v>
      </c>
      <c r="F362" t="s">
        <v>2103</v>
      </c>
      <c r="G362">
        <v>11368</v>
      </c>
      <c r="K362">
        <v>2</v>
      </c>
      <c r="L362">
        <v>0</v>
      </c>
      <c r="M362">
        <v>65.69</v>
      </c>
    </row>
    <row r="363" spans="1:13">
      <c r="A363" s="1">
        <f>HYPERLINK("https://lsnyc.legalserver.org/matter/dynamic-profile/view/1837349","17-1837349")</f>
        <v>0</v>
      </c>
      <c r="B363" t="s">
        <v>13</v>
      </c>
      <c r="C363" t="s">
        <v>98</v>
      </c>
      <c r="D363" t="s">
        <v>825</v>
      </c>
      <c r="E363" t="s">
        <v>1668</v>
      </c>
      <c r="F363" t="s">
        <v>2093</v>
      </c>
      <c r="G363">
        <v>10034</v>
      </c>
      <c r="K363">
        <v>1</v>
      </c>
      <c r="L363">
        <v>0</v>
      </c>
      <c r="M363">
        <v>65.81999999999999</v>
      </c>
    </row>
    <row r="364" spans="1:13">
      <c r="A364" s="1">
        <f>HYPERLINK("https://lsnyc.legalserver.org/matter/dynamic-profile/view/1872527","18-1872527")</f>
        <v>0</v>
      </c>
      <c r="B364" t="s">
        <v>13</v>
      </c>
      <c r="C364" t="s">
        <v>263</v>
      </c>
      <c r="D364" t="s">
        <v>961</v>
      </c>
      <c r="E364" t="s">
        <v>1466</v>
      </c>
      <c r="F364" t="s">
        <v>2091</v>
      </c>
      <c r="G364">
        <v>11225</v>
      </c>
      <c r="K364">
        <v>2</v>
      </c>
      <c r="L364">
        <v>0</v>
      </c>
      <c r="M364">
        <v>65.83</v>
      </c>
    </row>
    <row r="365" spans="1:13">
      <c r="A365" s="1">
        <f>HYPERLINK("https://lsnyc.legalserver.org/matter/dynamic-profile/view/1887824","19-1887824")</f>
        <v>0</v>
      </c>
      <c r="B365" t="s">
        <v>13</v>
      </c>
      <c r="C365" t="s">
        <v>263</v>
      </c>
      <c r="D365" t="s">
        <v>961</v>
      </c>
      <c r="E365" t="s">
        <v>1466</v>
      </c>
      <c r="F365" t="s">
        <v>2091</v>
      </c>
      <c r="G365">
        <v>11225</v>
      </c>
      <c r="K365">
        <v>2</v>
      </c>
      <c r="L365">
        <v>0</v>
      </c>
      <c r="M365">
        <v>65.83</v>
      </c>
    </row>
    <row r="366" spans="1:13">
      <c r="A366" s="1">
        <f>HYPERLINK("https://lsnyc.legalserver.org/matter/dynamic-profile/view/0811656","16-0811656")</f>
        <v>0</v>
      </c>
      <c r="B366" t="s">
        <v>13</v>
      </c>
      <c r="C366" t="s">
        <v>264</v>
      </c>
      <c r="D366" t="s">
        <v>96</v>
      </c>
      <c r="E366" t="s">
        <v>1451</v>
      </c>
      <c r="F366" t="s">
        <v>2089</v>
      </c>
      <c r="G366">
        <v>10453</v>
      </c>
      <c r="K366">
        <v>2</v>
      </c>
      <c r="L366">
        <v>0</v>
      </c>
      <c r="M366">
        <v>65.84</v>
      </c>
    </row>
    <row r="367" spans="1:13">
      <c r="A367" s="1">
        <f>HYPERLINK("https://lsnyc.legalserver.org/matter/dynamic-profile/view/1849475","17-1849475")</f>
        <v>0</v>
      </c>
      <c r="B367" t="s">
        <v>13</v>
      </c>
      <c r="C367" t="s">
        <v>28</v>
      </c>
      <c r="D367" t="s">
        <v>962</v>
      </c>
      <c r="E367" t="s">
        <v>1669</v>
      </c>
      <c r="F367" t="s">
        <v>2090</v>
      </c>
      <c r="G367">
        <v>10301</v>
      </c>
      <c r="K367">
        <v>1</v>
      </c>
      <c r="L367">
        <v>0</v>
      </c>
      <c r="M367">
        <v>65.97</v>
      </c>
    </row>
    <row r="368" spans="1:13">
      <c r="A368" s="1">
        <f>HYPERLINK("https://lsnyc.legalserver.org/matter/dynamic-profile/view/0811205","16-0811205")</f>
        <v>0</v>
      </c>
      <c r="B368" t="s">
        <v>13</v>
      </c>
      <c r="C368" t="s">
        <v>154</v>
      </c>
      <c r="D368" t="s">
        <v>963</v>
      </c>
      <c r="E368" t="s">
        <v>1670</v>
      </c>
      <c r="F368" t="s">
        <v>2091</v>
      </c>
      <c r="G368">
        <v>11220</v>
      </c>
      <c r="K368">
        <v>2</v>
      </c>
      <c r="L368">
        <v>0</v>
      </c>
      <c r="M368">
        <v>66.2</v>
      </c>
    </row>
    <row r="369" spans="1:13">
      <c r="A369" s="1">
        <f>HYPERLINK("https://lsnyc.legalserver.org/matter/dynamic-profile/view/1837030","17-1837030")</f>
        <v>0</v>
      </c>
      <c r="B369" t="s">
        <v>13</v>
      </c>
      <c r="C369" t="s">
        <v>232</v>
      </c>
      <c r="D369" t="s">
        <v>964</v>
      </c>
      <c r="E369" t="s">
        <v>1438</v>
      </c>
      <c r="F369" t="s">
        <v>2089</v>
      </c>
      <c r="G369">
        <v>10453</v>
      </c>
      <c r="K369">
        <v>1</v>
      </c>
      <c r="L369">
        <v>0</v>
      </c>
      <c r="M369">
        <v>66.33</v>
      </c>
    </row>
    <row r="370" spans="1:13">
      <c r="A370" s="1">
        <f>HYPERLINK("https://lsnyc.legalserver.org/matter/dynamic-profile/view/1848080","17-1848080")</f>
        <v>0</v>
      </c>
      <c r="B370" t="s">
        <v>13</v>
      </c>
      <c r="C370" t="s">
        <v>265</v>
      </c>
      <c r="D370" t="s">
        <v>736</v>
      </c>
      <c r="E370" t="s">
        <v>1671</v>
      </c>
      <c r="F370" t="s">
        <v>2089</v>
      </c>
      <c r="G370">
        <v>10453</v>
      </c>
      <c r="K370">
        <v>1</v>
      </c>
      <c r="L370">
        <v>0</v>
      </c>
      <c r="M370">
        <v>66.40000000000001</v>
      </c>
    </row>
    <row r="371" spans="1:13">
      <c r="A371" s="1">
        <f>HYPERLINK("https://lsnyc.legalserver.org/matter/dynamic-profile/view/1847595","17-1847595")</f>
        <v>0</v>
      </c>
      <c r="B371" t="s">
        <v>13</v>
      </c>
      <c r="C371" t="s">
        <v>266</v>
      </c>
      <c r="D371" t="s">
        <v>965</v>
      </c>
      <c r="E371" t="s">
        <v>1672</v>
      </c>
      <c r="F371" t="s">
        <v>2093</v>
      </c>
      <c r="G371">
        <v>10031</v>
      </c>
      <c r="K371">
        <v>2</v>
      </c>
      <c r="L371">
        <v>0</v>
      </c>
      <c r="M371">
        <v>66.5</v>
      </c>
    </row>
    <row r="372" spans="1:13">
      <c r="A372" s="1">
        <f>HYPERLINK("https://lsnyc.legalserver.org/matter/dynamic-profile/view/1855203","18-1855203")</f>
        <v>0</v>
      </c>
      <c r="B372" t="s">
        <v>13</v>
      </c>
      <c r="C372" t="s">
        <v>267</v>
      </c>
      <c r="D372" t="s">
        <v>966</v>
      </c>
      <c r="E372" t="s">
        <v>1673</v>
      </c>
      <c r="F372" t="s">
        <v>2089</v>
      </c>
      <c r="G372">
        <v>10457</v>
      </c>
      <c r="K372">
        <v>2</v>
      </c>
      <c r="L372">
        <v>0</v>
      </c>
      <c r="M372">
        <v>66.5</v>
      </c>
    </row>
    <row r="373" spans="1:13">
      <c r="A373" s="1">
        <f>HYPERLINK("https://lsnyc.legalserver.org/matter/dynamic-profile/view/0811842","16-0811842")</f>
        <v>0</v>
      </c>
      <c r="B373" t="s">
        <v>13</v>
      </c>
      <c r="C373" t="s">
        <v>268</v>
      </c>
      <c r="D373" t="s">
        <v>743</v>
      </c>
      <c r="E373" t="s">
        <v>1451</v>
      </c>
      <c r="F373" t="s">
        <v>2089</v>
      </c>
      <c r="G373">
        <v>10453</v>
      </c>
      <c r="K373">
        <v>2</v>
      </c>
      <c r="L373">
        <v>0</v>
      </c>
      <c r="M373">
        <v>66.67</v>
      </c>
    </row>
    <row r="374" spans="1:13">
      <c r="A374" s="1">
        <f>HYPERLINK("https://lsnyc.legalserver.org/matter/dynamic-profile/view/1845259","17-1845259")</f>
        <v>0</v>
      </c>
      <c r="B374" t="s">
        <v>13</v>
      </c>
      <c r="C374" t="s">
        <v>62</v>
      </c>
      <c r="D374" t="s">
        <v>842</v>
      </c>
      <c r="E374" t="s">
        <v>1480</v>
      </c>
      <c r="F374" t="s">
        <v>2091</v>
      </c>
      <c r="G374">
        <v>11208</v>
      </c>
      <c r="K374">
        <v>2</v>
      </c>
      <c r="L374">
        <v>0</v>
      </c>
      <c r="M374">
        <v>66.72</v>
      </c>
    </row>
    <row r="375" spans="1:13">
      <c r="A375" s="1">
        <f>HYPERLINK("https://lsnyc.legalserver.org/matter/dynamic-profile/view/0832611","17-0832611")</f>
        <v>0</v>
      </c>
      <c r="B375" t="s">
        <v>13</v>
      </c>
      <c r="C375" t="s">
        <v>62</v>
      </c>
      <c r="D375" t="s">
        <v>842</v>
      </c>
      <c r="E375" t="s">
        <v>1480</v>
      </c>
      <c r="F375" t="s">
        <v>2091</v>
      </c>
      <c r="G375">
        <v>11208</v>
      </c>
      <c r="K375">
        <v>2</v>
      </c>
      <c r="L375">
        <v>0</v>
      </c>
      <c r="M375">
        <v>66.72</v>
      </c>
    </row>
    <row r="376" spans="1:13">
      <c r="A376" s="1">
        <f>HYPERLINK("https://lsnyc.legalserver.org/matter/dynamic-profile/view/0817499","16-0817499")</f>
        <v>0</v>
      </c>
      <c r="B376" t="s">
        <v>13</v>
      </c>
      <c r="C376" t="s">
        <v>269</v>
      </c>
      <c r="D376" t="s">
        <v>967</v>
      </c>
      <c r="E376" t="s">
        <v>1674</v>
      </c>
      <c r="F376" t="s">
        <v>2093</v>
      </c>
      <c r="G376">
        <v>10034</v>
      </c>
      <c r="K376">
        <v>4</v>
      </c>
      <c r="L376">
        <v>0</v>
      </c>
      <c r="M376">
        <v>66.81</v>
      </c>
    </row>
    <row r="377" spans="1:13">
      <c r="A377" s="1">
        <f>HYPERLINK("https://lsnyc.legalserver.org/matter/dynamic-profile/view/1844479","17-1844479")</f>
        <v>0</v>
      </c>
      <c r="B377" t="s">
        <v>13</v>
      </c>
      <c r="C377" t="s">
        <v>270</v>
      </c>
      <c r="D377" t="s">
        <v>968</v>
      </c>
      <c r="E377" t="s">
        <v>1675</v>
      </c>
      <c r="F377" t="s">
        <v>2091</v>
      </c>
      <c r="G377">
        <v>11212</v>
      </c>
      <c r="K377">
        <v>2</v>
      </c>
      <c r="L377">
        <v>0</v>
      </c>
      <c r="M377">
        <v>67.12</v>
      </c>
    </row>
    <row r="378" spans="1:13">
      <c r="A378" s="1">
        <f>HYPERLINK("https://lsnyc.legalserver.org/matter/dynamic-profile/view/0827690","17-0827690")</f>
        <v>0</v>
      </c>
      <c r="B378" t="s">
        <v>13</v>
      </c>
      <c r="C378" t="s">
        <v>271</v>
      </c>
      <c r="D378" t="s">
        <v>806</v>
      </c>
      <c r="E378" t="s">
        <v>1676</v>
      </c>
      <c r="F378" t="s">
        <v>2091</v>
      </c>
      <c r="G378">
        <v>11208</v>
      </c>
      <c r="K378">
        <v>2</v>
      </c>
      <c r="L378">
        <v>0</v>
      </c>
      <c r="M378">
        <v>67.31999999999999</v>
      </c>
    </row>
    <row r="379" spans="1:13">
      <c r="A379" s="1">
        <f>HYPERLINK("https://lsnyc.legalserver.org/matter/dynamic-profile/view/0820152","16-0820152")</f>
        <v>0</v>
      </c>
      <c r="B379" t="s">
        <v>13</v>
      </c>
      <c r="C379" t="s">
        <v>15</v>
      </c>
      <c r="D379" t="s">
        <v>969</v>
      </c>
      <c r="E379" t="s">
        <v>1677</v>
      </c>
      <c r="F379" t="s">
        <v>2093</v>
      </c>
      <c r="G379">
        <v>10034</v>
      </c>
      <c r="K379">
        <v>2</v>
      </c>
      <c r="L379">
        <v>0</v>
      </c>
      <c r="M379">
        <v>67.42</v>
      </c>
    </row>
    <row r="380" spans="1:13">
      <c r="A380" s="1">
        <f>HYPERLINK("https://lsnyc.legalserver.org/matter/dynamic-profile/view/1833329","17-1833329")</f>
        <v>0</v>
      </c>
      <c r="B380" t="s">
        <v>13</v>
      </c>
      <c r="C380" t="s">
        <v>272</v>
      </c>
      <c r="D380" t="s">
        <v>970</v>
      </c>
      <c r="E380" t="s">
        <v>1678</v>
      </c>
      <c r="F380" t="s">
        <v>2095</v>
      </c>
      <c r="G380">
        <v>11691</v>
      </c>
      <c r="K380">
        <v>1</v>
      </c>
      <c r="L380">
        <v>0</v>
      </c>
      <c r="M380">
        <v>67.76000000000001</v>
      </c>
    </row>
    <row r="381" spans="1:13">
      <c r="A381" s="1">
        <f>HYPERLINK("https://lsnyc.legalserver.org/matter/dynamic-profile/view/0795762","16-0795762")</f>
        <v>0</v>
      </c>
      <c r="B381" t="s">
        <v>13</v>
      </c>
      <c r="C381" t="s">
        <v>39</v>
      </c>
      <c r="D381" t="s">
        <v>845</v>
      </c>
      <c r="E381" t="s">
        <v>1679</v>
      </c>
      <c r="F381" t="s">
        <v>2089</v>
      </c>
      <c r="G381">
        <v>10453</v>
      </c>
      <c r="K381">
        <v>2</v>
      </c>
      <c r="L381">
        <v>0</v>
      </c>
      <c r="M381">
        <v>67.8</v>
      </c>
    </row>
    <row r="382" spans="1:13">
      <c r="A382" s="1">
        <f>HYPERLINK("https://lsnyc.legalserver.org/matter/dynamic-profile/view/1860598","18-1860598")</f>
        <v>0</v>
      </c>
      <c r="B382" t="s">
        <v>13</v>
      </c>
      <c r="C382" t="s">
        <v>148</v>
      </c>
      <c r="D382" t="s">
        <v>971</v>
      </c>
      <c r="E382" t="s">
        <v>1680</v>
      </c>
      <c r="F382" t="s">
        <v>2089</v>
      </c>
      <c r="G382">
        <v>10452</v>
      </c>
      <c r="K382">
        <v>1</v>
      </c>
      <c r="L382">
        <v>0</v>
      </c>
      <c r="M382">
        <v>68.11</v>
      </c>
    </row>
    <row r="383" spans="1:13">
      <c r="A383" s="1">
        <f>HYPERLINK("https://lsnyc.legalserver.org/matter/dynamic-profile/view/1861830","18-1861830")</f>
        <v>0</v>
      </c>
      <c r="B383" t="s">
        <v>13</v>
      </c>
      <c r="C383" t="s">
        <v>273</v>
      </c>
      <c r="D383" t="s">
        <v>972</v>
      </c>
      <c r="E383" t="s">
        <v>1681</v>
      </c>
      <c r="F383" t="s">
        <v>2091</v>
      </c>
      <c r="G383">
        <v>11225</v>
      </c>
      <c r="K383">
        <v>2</v>
      </c>
      <c r="L383">
        <v>0</v>
      </c>
      <c r="M383">
        <v>68.17</v>
      </c>
    </row>
    <row r="384" spans="1:13">
      <c r="A384" s="1">
        <f>HYPERLINK("https://lsnyc.legalserver.org/matter/dynamic-profile/view/1848912","17-1848912")</f>
        <v>0</v>
      </c>
      <c r="B384" t="s">
        <v>13</v>
      </c>
      <c r="C384" t="s">
        <v>274</v>
      </c>
      <c r="D384" t="s">
        <v>973</v>
      </c>
      <c r="E384" t="s">
        <v>1682</v>
      </c>
      <c r="F384" t="s">
        <v>2091</v>
      </c>
      <c r="G384">
        <v>11215</v>
      </c>
      <c r="K384">
        <v>4</v>
      </c>
      <c r="L384">
        <v>0</v>
      </c>
      <c r="M384">
        <v>68.29000000000001</v>
      </c>
    </row>
    <row r="385" spans="1:13">
      <c r="A385" s="1">
        <f>HYPERLINK("https://lsnyc.legalserver.org/matter/dynamic-profile/view/1861059","18-1861059")</f>
        <v>0</v>
      </c>
      <c r="B385" t="s">
        <v>13</v>
      </c>
      <c r="C385" t="s">
        <v>275</v>
      </c>
      <c r="D385" t="s">
        <v>974</v>
      </c>
      <c r="E385" t="s">
        <v>1683</v>
      </c>
      <c r="F385" t="s">
        <v>2090</v>
      </c>
      <c r="G385">
        <v>10304</v>
      </c>
      <c r="K385">
        <v>2</v>
      </c>
      <c r="L385">
        <v>0</v>
      </c>
      <c r="M385">
        <v>68.31</v>
      </c>
    </row>
    <row r="386" spans="1:13">
      <c r="A386" s="1">
        <f>HYPERLINK("https://lsnyc.legalserver.org/matter/dynamic-profile/view/1871278","18-1871278")</f>
        <v>0</v>
      </c>
      <c r="B386" t="s">
        <v>13</v>
      </c>
      <c r="C386" t="s">
        <v>275</v>
      </c>
      <c r="D386" t="s">
        <v>974</v>
      </c>
      <c r="E386" t="s">
        <v>1683</v>
      </c>
      <c r="F386" t="s">
        <v>2090</v>
      </c>
      <c r="G386">
        <v>10304</v>
      </c>
      <c r="K386">
        <v>2</v>
      </c>
      <c r="L386">
        <v>0</v>
      </c>
      <c r="M386">
        <v>68.31</v>
      </c>
    </row>
    <row r="387" spans="1:13">
      <c r="A387" s="1">
        <f>HYPERLINK("https://lsnyc.legalserver.org/matter/dynamic-profile/view/1854940","18-1854940")</f>
        <v>0</v>
      </c>
      <c r="B387" t="s">
        <v>13</v>
      </c>
      <c r="C387" t="s">
        <v>276</v>
      </c>
      <c r="D387" t="s">
        <v>975</v>
      </c>
      <c r="E387" t="s">
        <v>1533</v>
      </c>
      <c r="F387" t="s">
        <v>2089</v>
      </c>
      <c r="G387">
        <v>10452</v>
      </c>
      <c r="K387">
        <v>3</v>
      </c>
      <c r="L387">
        <v>0</v>
      </c>
      <c r="M387">
        <v>68.56</v>
      </c>
    </row>
    <row r="388" spans="1:13">
      <c r="A388" s="1">
        <f>HYPERLINK("https://lsnyc.legalserver.org/matter/dynamic-profile/view/1856376","18-1856376")</f>
        <v>0</v>
      </c>
      <c r="B388" t="s">
        <v>13</v>
      </c>
      <c r="C388" t="s">
        <v>277</v>
      </c>
      <c r="D388" t="s">
        <v>976</v>
      </c>
      <c r="E388" t="s">
        <v>1684</v>
      </c>
      <c r="F388" t="s">
        <v>2089</v>
      </c>
      <c r="G388">
        <v>10453</v>
      </c>
      <c r="K388">
        <v>1</v>
      </c>
      <c r="L388">
        <v>0</v>
      </c>
      <c r="M388">
        <v>68.81</v>
      </c>
    </row>
    <row r="389" spans="1:13">
      <c r="A389" s="1">
        <f>HYPERLINK("https://lsnyc.legalserver.org/matter/dynamic-profile/view/1852023","17-1852023")</f>
        <v>0</v>
      </c>
      <c r="B389" t="s">
        <v>13</v>
      </c>
      <c r="C389" t="s">
        <v>39</v>
      </c>
      <c r="D389" t="s">
        <v>977</v>
      </c>
      <c r="E389" t="s">
        <v>1685</v>
      </c>
      <c r="F389" t="s">
        <v>2089</v>
      </c>
      <c r="G389">
        <v>10458</v>
      </c>
      <c r="K389">
        <v>2</v>
      </c>
      <c r="L389">
        <v>0</v>
      </c>
      <c r="M389">
        <v>68.84999999999999</v>
      </c>
    </row>
    <row r="390" spans="1:13">
      <c r="A390" s="1">
        <f>HYPERLINK("https://lsnyc.legalserver.org/matter/dynamic-profile/view/1855202","18-1855202")</f>
        <v>0</v>
      </c>
      <c r="B390" t="s">
        <v>13</v>
      </c>
      <c r="C390" t="s">
        <v>278</v>
      </c>
      <c r="D390" t="s">
        <v>978</v>
      </c>
      <c r="E390" t="s">
        <v>1686</v>
      </c>
      <c r="F390" t="s">
        <v>2089</v>
      </c>
      <c r="G390">
        <v>10457</v>
      </c>
      <c r="K390">
        <v>2</v>
      </c>
      <c r="L390">
        <v>0</v>
      </c>
      <c r="M390">
        <v>69</v>
      </c>
    </row>
    <row r="391" spans="1:13">
      <c r="A391" s="1">
        <f>HYPERLINK("https://lsnyc.legalserver.org/matter/dynamic-profile/view/1861627","18-1861627")</f>
        <v>0</v>
      </c>
      <c r="B391" t="s">
        <v>13</v>
      </c>
      <c r="C391" t="s">
        <v>279</v>
      </c>
      <c r="D391" t="s">
        <v>979</v>
      </c>
      <c r="E391" t="s">
        <v>1687</v>
      </c>
      <c r="F391" t="s">
        <v>2093</v>
      </c>
      <c r="G391">
        <v>10029</v>
      </c>
      <c r="K391">
        <v>2</v>
      </c>
      <c r="L391">
        <v>0</v>
      </c>
      <c r="M391">
        <v>69.26000000000001</v>
      </c>
    </row>
    <row r="392" spans="1:13">
      <c r="A392" s="1">
        <f>HYPERLINK("https://lsnyc.legalserver.org/matter/dynamic-profile/view/1864189","18-1864189")</f>
        <v>0</v>
      </c>
      <c r="B392" t="s">
        <v>13</v>
      </c>
      <c r="C392" t="s">
        <v>202</v>
      </c>
      <c r="D392" t="s">
        <v>980</v>
      </c>
      <c r="E392" t="s">
        <v>1688</v>
      </c>
      <c r="F392" t="s">
        <v>2093</v>
      </c>
      <c r="G392">
        <v>10034</v>
      </c>
      <c r="K392">
        <v>1</v>
      </c>
      <c r="L392">
        <v>0</v>
      </c>
      <c r="M392">
        <v>69.28</v>
      </c>
    </row>
    <row r="393" spans="1:13">
      <c r="A393" s="1">
        <f>HYPERLINK("https://lsnyc.legalserver.org/matter/dynamic-profile/view/1864184","18-1864184")</f>
        <v>0</v>
      </c>
      <c r="B393" t="s">
        <v>13</v>
      </c>
      <c r="C393" t="s">
        <v>202</v>
      </c>
      <c r="D393" t="s">
        <v>980</v>
      </c>
      <c r="E393" t="s">
        <v>1688</v>
      </c>
      <c r="F393" t="s">
        <v>2093</v>
      </c>
      <c r="G393">
        <v>10034</v>
      </c>
      <c r="K393">
        <v>1</v>
      </c>
      <c r="L393">
        <v>0</v>
      </c>
      <c r="M393">
        <v>69.28</v>
      </c>
    </row>
    <row r="394" spans="1:13">
      <c r="A394" s="1">
        <f>HYPERLINK("https://lsnyc.legalserver.org/matter/dynamic-profile/view/1845306","17-1845306")</f>
        <v>0</v>
      </c>
      <c r="B394" t="s">
        <v>13</v>
      </c>
      <c r="C394" t="s">
        <v>280</v>
      </c>
      <c r="D394" t="s">
        <v>981</v>
      </c>
      <c r="E394" t="s">
        <v>1689</v>
      </c>
      <c r="F394" t="s">
        <v>2091</v>
      </c>
      <c r="G394">
        <v>11201</v>
      </c>
      <c r="K394">
        <v>2</v>
      </c>
      <c r="L394">
        <v>0</v>
      </c>
      <c r="M394">
        <v>69.31</v>
      </c>
    </row>
    <row r="395" spans="1:13">
      <c r="A395" s="1">
        <f>HYPERLINK("https://lsnyc.legalserver.org/matter/dynamic-profile/view/1851951","17-1851951")</f>
        <v>0</v>
      </c>
      <c r="B395" t="s">
        <v>13</v>
      </c>
      <c r="C395" t="s">
        <v>281</v>
      </c>
      <c r="D395" t="s">
        <v>827</v>
      </c>
      <c r="E395" t="s">
        <v>1690</v>
      </c>
      <c r="F395" t="s">
        <v>2093</v>
      </c>
      <c r="G395">
        <v>10035</v>
      </c>
      <c r="K395">
        <v>2</v>
      </c>
      <c r="L395">
        <v>0</v>
      </c>
      <c r="M395">
        <v>69.38</v>
      </c>
    </row>
    <row r="396" spans="1:13">
      <c r="A396" s="1">
        <f>HYPERLINK("https://lsnyc.legalserver.org/matter/dynamic-profile/view/1853756","17-1853756")</f>
        <v>0</v>
      </c>
      <c r="B396" t="s">
        <v>13</v>
      </c>
      <c r="C396" t="s">
        <v>282</v>
      </c>
      <c r="D396" t="s">
        <v>982</v>
      </c>
      <c r="E396" t="s">
        <v>1691</v>
      </c>
      <c r="F396" t="s">
        <v>2090</v>
      </c>
      <c r="G396">
        <v>10304</v>
      </c>
      <c r="K396">
        <v>1</v>
      </c>
      <c r="L396">
        <v>0</v>
      </c>
      <c r="M396">
        <v>69.65000000000001</v>
      </c>
    </row>
    <row r="397" spans="1:13">
      <c r="A397" s="1">
        <f>HYPERLINK("https://lsnyc.legalserver.org/matter/dynamic-profile/view/1856538","18-1856538")</f>
        <v>0</v>
      </c>
      <c r="B397" t="s">
        <v>13</v>
      </c>
      <c r="C397" t="s">
        <v>283</v>
      </c>
      <c r="D397" t="s">
        <v>983</v>
      </c>
      <c r="E397" t="s">
        <v>1684</v>
      </c>
      <c r="F397" t="s">
        <v>2089</v>
      </c>
      <c r="G397">
        <v>10453</v>
      </c>
      <c r="K397">
        <v>1</v>
      </c>
      <c r="L397">
        <v>0</v>
      </c>
      <c r="M397">
        <v>69.65000000000001</v>
      </c>
    </row>
    <row r="398" spans="1:13">
      <c r="A398" s="1">
        <f>HYPERLINK("https://lsnyc.legalserver.org/matter/dynamic-profile/view/1845493","17-1845493")</f>
        <v>0</v>
      </c>
      <c r="B398" t="s">
        <v>13</v>
      </c>
      <c r="C398" t="s">
        <v>249</v>
      </c>
      <c r="D398" t="s">
        <v>984</v>
      </c>
      <c r="E398" t="s">
        <v>1692</v>
      </c>
      <c r="F398" t="s">
        <v>2091</v>
      </c>
      <c r="G398">
        <v>11213</v>
      </c>
      <c r="K398">
        <v>1</v>
      </c>
      <c r="L398">
        <v>0</v>
      </c>
      <c r="M398">
        <v>69.65000000000001</v>
      </c>
    </row>
    <row r="399" spans="1:13">
      <c r="A399" s="1">
        <f>HYPERLINK("https://lsnyc.legalserver.org/matter/dynamic-profile/view/1859384","18-1859384")</f>
        <v>0</v>
      </c>
      <c r="B399" t="s">
        <v>13</v>
      </c>
      <c r="C399" t="s">
        <v>283</v>
      </c>
      <c r="D399" t="s">
        <v>983</v>
      </c>
      <c r="E399" t="s">
        <v>1684</v>
      </c>
      <c r="F399" t="s">
        <v>2089</v>
      </c>
      <c r="G399">
        <v>10453</v>
      </c>
      <c r="K399">
        <v>1</v>
      </c>
      <c r="L399">
        <v>0</v>
      </c>
      <c r="M399">
        <v>69.65000000000001</v>
      </c>
    </row>
    <row r="400" spans="1:13">
      <c r="A400" s="1">
        <f>HYPERLINK("https://lsnyc.legalserver.org/matter/dynamic-profile/view/1840918","17-1840918")</f>
        <v>0</v>
      </c>
      <c r="B400" t="s">
        <v>13</v>
      </c>
      <c r="C400" t="s">
        <v>51</v>
      </c>
      <c r="D400" t="s">
        <v>985</v>
      </c>
      <c r="E400" t="s">
        <v>1693</v>
      </c>
      <c r="F400" t="s">
        <v>2089</v>
      </c>
      <c r="G400">
        <v>10453</v>
      </c>
      <c r="K400">
        <v>1</v>
      </c>
      <c r="L400">
        <v>0</v>
      </c>
      <c r="M400">
        <v>69.65000000000001</v>
      </c>
    </row>
    <row r="401" spans="1:13">
      <c r="A401" s="1">
        <f>HYPERLINK("https://lsnyc.legalserver.org/matter/dynamic-profile/view/1845479","17-1845479")</f>
        <v>0</v>
      </c>
      <c r="B401" t="s">
        <v>13</v>
      </c>
      <c r="C401" t="s">
        <v>249</v>
      </c>
      <c r="D401" t="s">
        <v>984</v>
      </c>
      <c r="E401" t="s">
        <v>1692</v>
      </c>
      <c r="F401" t="s">
        <v>2091</v>
      </c>
      <c r="G401">
        <v>11213</v>
      </c>
      <c r="K401">
        <v>1</v>
      </c>
      <c r="L401">
        <v>0</v>
      </c>
      <c r="M401">
        <v>69.65000000000001</v>
      </c>
    </row>
    <row r="402" spans="1:13">
      <c r="A402" s="1">
        <f>HYPERLINK("https://lsnyc.legalserver.org/matter/dynamic-profile/view/0815801","16-0815801")</f>
        <v>0</v>
      </c>
      <c r="B402" t="s">
        <v>13</v>
      </c>
      <c r="C402" t="s">
        <v>83</v>
      </c>
      <c r="D402" t="s">
        <v>986</v>
      </c>
      <c r="E402" t="s">
        <v>1694</v>
      </c>
      <c r="F402" t="s">
        <v>2091</v>
      </c>
      <c r="G402">
        <v>11233</v>
      </c>
      <c r="K402">
        <v>1</v>
      </c>
      <c r="L402">
        <v>0</v>
      </c>
      <c r="M402">
        <v>69.7</v>
      </c>
    </row>
    <row r="403" spans="1:13">
      <c r="A403" s="1">
        <f>HYPERLINK("https://lsnyc.legalserver.org/matter/dynamic-profile/view/1834813","17-1834813")</f>
        <v>0</v>
      </c>
      <c r="B403" t="s">
        <v>13</v>
      </c>
      <c r="C403" t="s">
        <v>39</v>
      </c>
      <c r="D403" t="s">
        <v>893</v>
      </c>
      <c r="E403" t="s">
        <v>1623</v>
      </c>
      <c r="F403" t="s">
        <v>2093</v>
      </c>
      <c r="G403">
        <v>10033</v>
      </c>
      <c r="K403">
        <v>1</v>
      </c>
      <c r="L403">
        <v>0</v>
      </c>
      <c r="M403">
        <v>69.7</v>
      </c>
    </row>
    <row r="404" spans="1:13">
      <c r="A404" s="1">
        <f>HYPERLINK("https://lsnyc.legalserver.org/matter/dynamic-profile/view/0832747","17-0832747")</f>
        <v>0</v>
      </c>
      <c r="B404" t="s">
        <v>13</v>
      </c>
      <c r="C404" t="s">
        <v>83</v>
      </c>
      <c r="D404" t="s">
        <v>854</v>
      </c>
      <c r="E404" t="s">
        <v>1695</v>
      </c>
      <c r="F404" t="s">
        <v>2102</v>
      </c>
      <c r="G404">
        <v>11101</v>
      </c>
      <c r="K404">
        <v>2</v>
      </c>
      <c r="L404">
        <v>0</v>
      </c>
      <c r="M404">
        <v>70.05</v>
      </c>
    </row>
    <row r="405" spans="1:13">
      <c r="A405" s="1">
        <f>HYPERLINK("https://lsnyc.legalserver.org/matter/dynamic-profile/view/1860553","18-1860553")</f>
        <v>0</v>
      </c>
      <c r="B405" t="s">
        <v>13</v>
      </c>
      <c r="C405" t="s">
        <v>131</v>
      </c>
      <c r="D405" t="s">
        <v>987</v>
      </c>
      <c r="E405" t="s">
        <v>1696</v>
      </c>
      <c r="F405" t="s">
        <v>2089</v>
      </c>
      <c r="G405">
        <v>10457</v>
      </c>
      <c r="K405">
        <v>2</v>
      </c>
      <c r="L405">
        <v>0</v>
      </c>
      <c r="M405">
        <v>70.20999999999999</v>
      </c>
    </row>
    <row r="406" spans="1:13">
      <c r="A406" s="1">
        <f>HYPERLINK("https://lsnyc.legalserver.org/matter/dynamic-profile/view/1859930","18-1859930")</f>
        <v>0</v>
      </c>
      <c r="B406" t="s">
        <v>13</v>
      </c>
      <c r="C406" t="s">
        <v>227</v>
      </c>
      <c r="D406" t="s">
        <v>988</v>
      </c>
      <c r="E406" t="s">
        <v>1628</v>
      </c>
      <c r="F406" t="s">
        <v>2094</v>
      </c>
      <c r="G406">
        <v>11432</v>
      </c>
      <c r="K406">
        <v>3</v>
      </c>
      <c r="L406">
        <v>0</v>
      </c>
      <c r="M406">
        <v>70.52</v>
      </c>
    </row>
    <row r="407" spans="1:13">
      <c r="A407" s="1">
        <f>HYPERLINK("https://lsnyc.legalserver.org/matter/dynamic-profile/view/1859936","18-1859936")</f>
        <v>0</v>
      </c>
      <c r="B407" t="s">
        <v>13</v>
      </c>
      <c r="C407" t="s">
        <v>227</v>
      </c>
      <c r="D407" t="s">
        <v>988</v>
      </c>
      <c r="E407" t="s">
        <v>1628</v>
      </c>
      <c r="F407" t="s">
        <v>2094</v>
      </c>
      <c r="G407">
        <v>11432</v>
      </c>
      <c r="K407">
        <v>3</v>
      </c>
      <c r="L407">
        <v>0</v>
      </c>
      <c r="M407">
        <v>70.52</v>
      </c>
    </row>
    <row r="408" spans="1:13">
      <c r="A408" s="1">
        <f>HYPERLINK("https://lsnyc.legalserver.org/matter/dynamic-profile/view/1856751","18-1856751")</f>
        <v>0</v>
      </c>
      <c r="B408" t="s">
        <v>13</v>
      </c>
      <c r="C408" t="s">
        <v>148</v>
      </c>
      <c r="D408" t="s">
        <v>778</v>
      </c>
      <c r="E408" t="s">
        <v>1697</v>
      </c>
      <c r="F408" t="s">
        <v>2089</v>
      </c>
      <c r="G408">
        <v>10456</v>
      </c>
      <c r="K408">
        <v>1</v>
      </c>
      <c r="L408">
        <v>0</v>
      </c>
      <c r="M408">
        <v>70.55</v>
      </c>
    </row>
    <row r="409" spans="1:13">
      <c r="A409" s="1">
        <f>HYPERLINK("https://lsnyc.legalserver.org/matter/dynamic-profile/view/1862580","18-1862580")</f>
        <v>0</v>
      </c>
      <c r="B409" t="s">
        <v>13</v>
      </c>
      <c r="C409" t="s">
        <v>52</v>
      </c>
      <c r="D409" t="s">
        <v>965</v>
      </c>
      <c r="E409" t="s">
        <v>1698</v>
      </c>
      <c r="F409" t="s">
        <v>2089</v>
      </c>
      <c r="G409">
        <v>10452</v>
      </c>
      <c r="K409">
        <v>1</v>
      </c>
      <c r="L409">
        <v>0</v>
      </c>
      <c r="M409">
        <v>70.68000000000001</v>
      </c>
    </row>
    <row r="410" spans="1:13">
      <c r="A410" s="1">
        <f>HYPERLINK("https://lsnyc.legalserver.org/matter/dynamic-profile/view/0799599","16-0799599")</f>
        <v>0</v>
      </c>
      <c r="B410" t="s">
        <v>13</v>
      </c>
      <c r="C410" t="s">
        <v>134</v>
      </c>
      <c r="D410" t="s">
        <v>989</v>
      </c>
      <c r="E410" t="s">
        <v>1449</v>
      </c>
      <c r="F410" t="s">
        <v>2089</v>
      </c>
      <c r="G410">
        <v>10451</v>
      </c>
      <c r="K410">
        <v>1</v>
      </c>
      <c r="L410">
        <v>0</v>
      </c>
      <c r="M410">
        <v>70.70999999999999</v>
      </c>
    </row>
    <row r="411" spans="1:13">
      <c r="A411" s="1">
        <f>HYPERLINK("https://lsnyc.legalserver.org/matter/dynamic-profile/view/0820685","16-0820685")</f>
        <v>0</v>
      </c>
      <c r="B411" t="s">
        <v>13</v>
      </c>
      <c r="C411" t="s">
        <v>131</v>
      </c>
      <c r="D411" t="s">
        <v>973</v>
      </c>
      <c r="E411" t="s">
        <v>1699</v>
      </c>
      <c r="F411" t="s">
        <v>2093</v>
      </c>
      <c r="G411">
        <v>10034</v>
      </c>
      <c r="K411">
        <v>1</v>
      </c>
      <c r="L411">
        <v>0</v>
      </c>
      <c r="M411">
        <v>70.70999999999999</v>
      </c>
    </row>
    <row r="412" spans="1:13">
      <c r="A412" s="1">
        <f>HYPERLINK("https://lsnyc.legalserver.org/matter/dynamic-profile/view/1862086","18-1862086")</f>
        <v>0</v>
      </c>
      <c r="B412" t="s">
        <v>13</v>
      </c>
      <c r="C412" t="s">
        <v>284</v>
      </c>
      <c r="D412" t="s">
        <v>990</v>
      </c>
      <c r="E412" t="s">
        <v>1700</v>
      </c>
      <c r="F412" t="s">
        <v>2091</v>
      </c>
      <c r="G412">
        <v>11237</v>
      </c>
      <c r="K412">
        <v>1</v>
      </c>
      <c r="L412">
        <v>0</v>
      </c>
      <c r="M412">
        <v>71.17</v>
      </c>
    </row>
    <row r="413" spans="1:13">
      <c r="A413" s="1">
        <f>HYPERLINK("https://lsnyc.legalserver.org/matter/dynamic-profile/view/1860742","18-1860742")</f>
        <v>0</v>
      </c>
      <c r="B413" t="s">
        <v>13</v>
      </c>
      <c r="C413" t="s">
        <v>285</v>
      </c>
      <c r="D413" t="s">
        <v>804</v>
      </c>
      <c r="E413" t="s">
        <v>1701</v>
      </c>
      <c r="F413" t="s">
        <v>2089</v>
      </c>
      <c r="G413">
        <v>10453</v>
      </c>
      <c r="K413">
        <v>1</v>
      </c>
      <c r="L413">
        <v>0</v>
      </c>
      <c r="M413">
        <v>71.27</v>
      </c>
    </row>
    <row r="414" spans="1:13">
      <c r="A414" s="1">
        <f>HYPERLINK("https://lsnyc.legalserver.org/matter/dynamic-profile/view/0816741","16-0816741")</f>
        <v>0</v>
      </c>
      <c r="B414" t="s">
        <v>13</v>
      </c>
      <c r="C414" t="s">
        <v>227</v>
      </c>
      <c r="D414" t="s">
        <v>988</v>
      </c>
      <c r="E414" t="s">
        <v>1628</v>
      </c>
      <c r="F414" t="s">
        <v>2094</v>
      </c>
      <c r="G414">
        <v>11432</v>
      </c>
      <c r="K414">
        <v>3</v>
      </c>
      <c r="L414">
        <v>0</v>
      </c>
      <c r="M414">
        <v>71.43000000000001</v>
      </c>
    </row>
    <row r="415" spans="1:13">
      <c r="A415" s="1">
        <f>HYPERLINK("https://lsnyc.legalserver.org/matter/dynamic-profile/view/0832845","17-0832845")</f>
        <v>0</v>
      </c>
      <c r="B415" t="s">
        <v>13</v>
      </c>
      <c r="C415" t="s">
        <v>286</v>
      </c>
      <c r="D415" t="s">
        <v>991</v>
      </c>
      <c r="E415" t="s">
        <v>1702</v>
      </c>
      <c r="F415" t="s">
        <v>2093</v>
      </c>
      <c r="G415">
        <v>10065</v>
      </c>
      <c r="K415">
        <v>1</v>
      </c>
      <c r="L415">
        <v>0</v>
      </c>
      <c r="M415">
        <v>71.64</v>
      </c>
    </row>
    <row r="416" spans="1:13">
      <c r="A416" s="1">
        <f>HYPERLINK("https://lsnyc.legalserver.org/matter/dynamic-profile/view/1855839","18-1855839")</f>
        <v>0</v>
      </c>
      <c r="B416" t="s">
        <v>13</v>
      </c>
      <c r="C416" t="s">
        <v>257</v>
      </c>
      <c r="D416" t="s">
        <v>992</v>
      </c>
      <c r="E416" t="s">
        <v>1602</v>
      </c>
      <c r="F416" t="s">
        <v>2093</v>
      </c>
      <c r="G416">
        <v>10031</v>
      </c>
      <c r="K416">
        <v>2</v>
      </c>
      <c r="L416">
        <v>0</v>
      </c>
      <c r="M416">
        <v>71.69</v>
      </c>
    </row>
    <row r="417" spans="1:13">
      <c r="A417" s="1">
        <f>HYPERLINK("https://lsnyc.legalserver.org/matter/dynamic-profile/view/1854341","17-1854341")</f>
        <v>0</v>
      </c>
      <c r="B417" t="s">
        <v>13</v>
      </c>
      <c r="C417" t="s">
        <v>52</v>
      </c>
      <c r="D417" t="s">
        <v>993</v>
      </c>
      <c r="E417" t="s">
        <v>1533</v>
      </c>
      <c r="F417" t="s">
        <v>2089</v>
      </c>
      <c r="G417">
        <v>10452</v>
      </c>
      <c r="K417">
        <v>1</v>
      </c>
      <c r="L417">
        <v>0</v>
      </c>
      <c r="M417">
        <v>71.73999999999999</v>
      </c>
    </row>
    <row r="418" spans="1:13">
      <c r="A418" s="1">
        <f>HYPERLINK("https://lsnyc.legalserver.org/matter/dynamic-profile/view/1855062","18-1855062")</f>
        <v>0</v>
      </c>
      <c r="B418" t="s">
        <v>13</v>
      </c>
      <c r="C418" t="s">
        <v>52</v>
      </c>
      <c r="D418" t="s">
        <v>993</v>
      </c>
      <c r="E418" t="s">
        <v>1533</v>
      </c>
      <c r="F418" t="s">
        <v>2089</v>
      </c>
      <c r="G418">
        <v>10452</v>
      </c>
      <c r="K418">
        <v>1</v>
      </c>
      <c r="L418">
        <v>0</v>
      </c>
      <c r="M418">
        <v>71.73999999999999</v>
      </c>
    </row>
    <row r="419" spans="1:13">
      <c r="A419" s="1">
        <f>HYPERLINK("https://lsnyc.legalserver.org/matter/dynamic-profile/view/1864937","18-1864937")</f>
        <v>0</v>
      </c>
      <c r="B419" t="s">
        <v>13</v>
      </c>
      <c r="C419" t="s">
        <v>287</v>
      </c>
      <c r="D419" t="s">
        <v>994</v>
      </c>
      <c r="E419" t="s">
        <v>1703</v>
      </c>
      <c r="F419" t="s">
        <v>2090</v>
      </c>
      <c r="G419">
        <v>10304</v>
      </c>
      <c r="K419">
        <v>1</v>
      </c>
      <c r="L419">
        <v>0</v>
      </c>
      <c r="M419">
        <v>71.86</v>
      </c>
    </row>
    <row r="420" spans="1:13">
      <c r="A420" s="1">
        <f>HYPERLINK("https://lsnyc.legalserver.org/matter/dynamic-profile/view/1847002","17-1847002")</f>
        <v>0</v>
      </c>
      <c r="B420" t="s">
        <v>13</v>
      </c>
      <c r="C420" t="s">
        <v>288</v>
      </c>
      <c r="D420" t="s">
        <v>814</v>
      </c>
      <c r="E420" t="s">
        <v>1704</v>
      </c>
      <c r="F420" t="s">
        <v>2091</v>
      </c>
      <c r="G420">
        <v>11208</v>
      </c>
      <c r="K420">
        <v>2</v>
      </c>
      <c r="L420">
        <v>0</v>
      </c>
      <c r="M420">
        <v>72.12</v>
      </c>
    </row>
    <row r="421" spans="1:13">
      <c r="A421" s="1">
        <f>HYPERLINK("https://lsnyc.legalserver.org/matter/dynamic-profile/view/1856807","18-1856807")</f>
        <v>0</v>
      </c>
      <c r="B421" t="s">
        <v>13</v>
      </c>
      <c r="C421" t="s">
        <v>39</v>
      </c>
      <c r="D421" t="s">
        <v>736</v>
      </c>
      <c r="E421" t="s">
        <v>1705</v>
      </c>
      <c r="F421" t="s">
        <v>2089</v>
      </c>
      <c r="G421">
        <v>10453</v>
      </c>
      <c r="K421">
        <v>1</v>
      </c>
      <c r="L421">
        <v>0</v>
      </c>
      <c r="M421">
        <v>72.23999999999999</v>
      </c>
    </row>
    <row r="422" spans="1:13">
      <c r="A422" s="1">
        <f>HYPERLINK("https://lsnyc.legalserver.org/matter/dynamic-profile/view/1846317","17-1846317")</f>
        <v>0</v>
      </c>
      <c r="B422" t="s">
        <v>13</v>
      </c>
      <c r="C422" t="s">
        <v>289</v>
      </c>
      <c r="D422" t="s">
        <v>995</v>
      </c>
      <c r="E422" t="s">
        <v>1706</v>
      </c>
      <c r="F422" t="s">
        <v>2093</v>
      </c>
      <c r="G422">
        <v>10034</v>
      </c>
      <c r="K422">
        <v>1</v>
      </c>
      <c r="L422">
        <v>0</v>
      </c>
      <c r="M422">
        <v>72.34</v>
      </c>
    </row>
    <row r="423" spans="1:13">
      <c r="A423" s="1">
        <f>HYPERLINK("https://lsnyc.legalserver.org/matter/dynamic-profile/view/1863110","18-1863110")</f>
        <v>0</v>
      </c>
      <c r="B423" t="s">
        <v>13</v>
      </c>
      <c r="C423" t="s">
        <v>290</v>
      </c>
      <c r="D423" t="s">
        <v>996</v>
      </c>
      <c r="E423" t="s">
        <v>1707</v>
      </c>
      <c r="F423" t="s">
        <v>2089</v>
      </c>
      <c r="G423">
        <v>10452</v>
      </c>
      <c r="K423">
        <v>1</v>
      </c>
      <c r="L423">
        <v>0</v>
      </c>
      <c r="M423">
        <v>72.45</v>
      </c>
    </row>
    <row r="424" spans="1:13">
      <c r="A424" s="1">
        <f>HYPERLINK("https://lsnyc.legalserver.org/matter/dynamic-profile/view/1868384","18-1868384")</f>
        <v>0</v>
      </c>
      <c r="B424" t="s">
        <v>13</v>
      </c>
      <c r="C424" t="s">
        <v>291</v>
      </c>
      <c r="D424" t="s">
        <v>841</v>
      </c>
      <c r="E424" t="s">
        <v>1485</v>
      </c>
      <c r="F424" t="s">
        <v>2093</v>
      </c>
      <c r="G424">
        <v>10034</v>
      </c>
      <c r="K424">
        <v>1</v>
      </c>
      <c r="L424">
        <v>0</v>
      </c>
      <c r="M424">
        <v>72.45</v>
      </c>
    </row>
    <row r="425" spans="1:13">
      <c r="A425" s="1">
        <f>HYPERLINK("https://lsnyc.legalserver.org/matter/dynamic-profile/view/1866231","18-1866231")</f>
        <v>0</v>
      </c>
      <c r="B425" t="s">
        <v>13</v>
      </c>
      <c r="C425" t="s">
        <v>199</v>
      </c>
      <c r="D425" t="s">
        <v>997</v>
      </c>
      <c r="E425" t="s">
        <v>1708</v>
      </c>
      <c r="F425" t="s">
        <v>2090</v>
      </c>
      <c r="G425">
        <v>10304</v>
      </c>
      <c r="K425">
        <v>1</v>
      </c>
      <c r="L425">
        <v>0</v>
      </c>
      <c r="M425">
        <v>72.45</v>
      </c>
    </row>
    <row r="426" spans="1:13">
      <c r="A426" s="1">
        <f>HYPERLINK("https://lsnyc.legalserver.org/matter/dynamic-profile/view/1841822","17-1841822")</f>
        <v>0</v>
      </c>
      <c r="B426" t="s">
        <v>13</v>
      </c>
      <c r="C426" t="s">
        <v>29</v>
      </c>
      <c r="D426" t="s">
        <v>998</v>
      </c>
      <c r="E426" t="s">
        <v>1618</v>
      </c>
      <c r="F426" t="s">
        <v>2093</v>
      </c>
      <c r="G426">
        <v>10034</v>
      </c>
      <c r="K426">
        <v>1</v>
      </c>
      <c r="L426">
        <v>0</v>
      </c>
      <c r="M426">
        <v>72.64</v>
      </c>
    </row>
    <row r="427" spans="1:13">
      <c r="A427" s="1">
        <f>HYPERLINK("https://lsnyc.legalserver.org/matter/dynamic-profile/view/1862146","18-1862146")</f>
        <v>0</v>
      </c>
      <c r="B427" t="s">
        <v>13</v>
      </c>
      <c r="C427" t="s">
        <v>292</v>
      </c>
      <c r="D427" t="s">
        <v>999</v>
      </c>
      <c r="E427" t="s">
        <v>1709</v>
      </c>
      <c r="F427" t="s">
        <v>2090</v>
      </c>
      <c r="G427">
        <v>10304</v>
      </c>
      <c r="K427">
        <v>1</v>
      </c>
      <c r="L427">
        <v>0</v>
      </c>
      <c r="M427">
        <v>72.65000000000001</v>
      </c>
    </row>
    <row r="428" spans="1:13">
      <c r="A428" s="1">
        <f>HYPERLINK("https://lsnyc.legalserver.org/matter/dynamic-profile/view/1866196","18-1866196")</f>
        <v>0</v>
      </c>
      <c r="B428" t="s">
        <v>13</v>
      </c>
      <c r="C428" t="s">
        <v>136</v>
      </c>
      <c r="D428" t="s">
        <v>1000</v>
      </c>
      <c r="E428" t="s">
        <v>1710</v>
      </c>
      <c r="F428" t="s">
        <v>2089</v>
      </c>
      <c r="G428">
        <v>10457</v>
      </c>
      <c r="K428">
        <v>1</v>
      </c>
      <c r="L428">
        <v>0</v>
      </c>
      <c r="M428">
        <v>72.65000000000001</v>
      </c>
    </row>
    <row r="429" spans="1:13">
      <c r="A429" s="1">
        <f>HYPERLINK("https://lsnyc.legalserver.org/matter/dynamic-profile/view/1857890","18-1857890")</f>
        <v>0</v>
      </c>
      <c r="B429" t="s">
        <v>13</v>
      </c>
      <c r="C429" t="s">
        <v>208</v>
      </c>
      <c r="D429" t="s">
        <v>773</v>
      </c>
      <c r="E429" t="s">
        <v>1711</v>
      </c>
      <c r="F429" t="s">
        <v>2093</v>
      </c>
      <c r="G429">
        <v>10034</v>
      </c>
      <c r="K429">
        <v>1</v>
      </c>
      <c r="L429">
        <v>0</v>
      </c>
      <c r="M429">
        <v>72.65000000000001</v>
      </c>
    </row>
    <row r="430" spans="1:13">
      <c r="A430" s="1">
        <f>HYPERLINK("https://lsnyc.legalserver.org/matter/dynamic-profile/view/1864125","18-1864125")</f>
        <v>0</v>
      </c>
      <c r="B430" t="s">
        <v>13</v>
      </c>
      <c r="C430" t="s">
        <v>293</v>
      </c>
      <c r="D430" t="s">
        <v>736</v>
      </c>
      <c r="E430" t="s">
        <v>1512</v>
      </c>
      <c r="F430" t="s">
        <v>2093</v>
      </c>
      <c r="G430">
        <v>10029</v>
      </c>
      <c r="K430">
        <v>1</v>
      </c>
      <c r="L430">
        <v>0</v>
      </c>
      <c r="M430">
        <v>72.65000000000001</v>
      </c>
    </row>
    <row r="431" spans="1:13">
      <c r="A431" s="1">
        <f>HYPERLINK("https://lsnyc.legalserver.org/matter/dynamic-profile/view/1844959","17-1844959")</f>
        <v>0</v>
      </c>
      <c r="B431" t="s">
        <v>13</v>
      </c>
      <c r="C431" t="s">
        <v>294</v>
      </c>
      <c r="D431" t="s">
        <v>825</v>
      </c>
      <c r="E431" t="s">
        <v>1712</v>
      </c>
      <c r="F431" t="s">
        <v>2089</v>
      </c>
      <c r="G431">
        <v>10453</v>
      </c>
      <c r="K431">
        <v>1</v>
      </c>
      <c r="L431">
        <v>0</v>
      </c>
      <c r="M431">
        <v>72.73999999999999</v>
      </c>
    </row>
    <row r="432" spans="1:13">
      <c r="A432" s="1">
        <f>HYPERLINK("https://lsnyc.legalserver.org/matter/dynamic-profile/view/0785003","15-0785003")</f>
        <v>0</v>
      </c>
      <c r="B432" t="s">
        <v>13</v>
      </c>
      <c r="C432" t="s">
        <v>295</v>
      </c>
      <c r="D432" t="s">
        <v>1001</v>
      </c>
      <c r="E432" t="s">
        <v>1713</v>
      </c>
      <c r="F432" t="s">
        <v>2104</v>
      </c>
      <c r="G432">
        <v>11385</v>
      </c>
      <c r="K432">
        <v>4</v>
      </c>
      <c r="L432">
        <v>0</v>
      </c>
      <c r="M432">
        <v>72.73999999999999</v>
      </c>
    </row>
    <row r="433" spans="1:13">
      <c r="A433" s="1">
        <f>HYPERLINK("https://lsnyc.legalserver.org/matter/dynamic-profile/view/0826973","17-0826973")</f>
        <v>0</v>
      </c>
      <c r="B433" t="s">
        <v>13</v>
      </c>
      <c r="C433" t="s">
        <v>15</v>
      </c>
      <c r="D433" t="s">
        <v>1002</v>
      </c>
      <c r="E433" t="s">
        <v>1555</v>
      </c>
      <c r="F433" t="s">
        <v>2093</v>
      </c>
      <c r="G433">
        <v>10040</v>
      </c>
      <c r="K433">
        <v>1</v>
      </c>
      <c r="L433">
        <v>0</v>
      </c>
      <c r="M433">
        <v>72.73999999999999</v>
      </c>
    </row>
    <row r="434" spans="1:13">
      <c r="A434" s="1">
        <f>HYPERLINK("https://lsnyc.legalserver.org/matter/dynamic-profile/view/1856679","18-1856679")</f>
        <v>0</v>
      </c>
      <c r="B434" t="s">
        <v>13</v>
      </c>
      <c r="C434" t="s">
        <v>296</v>
      </c>
      <c r="D434" t="s">
        <v>1003</v>
      </c>
      <c r="E434" t="s">
        <v>1714</v>
      </c>
      <c r="F434" t="s">
        <v>2105</v>
      </c>
      <c r="G434">
        <v>11412</v>
      </c>
      <c r="K434">
        <v>1</v>
      </c>
      <c r="L434">
        <v>0</v>
      </c>
      <c r="M434">
        <v>72.73999999999999</v>
      </c>
    </row>
    <row r="435" spans="1:13">
      <c r="A435" s="1">
        <f>HYPERLINK("https://lsnyc.legalserver.org/matter/dynamic-profile/view/0799020","16-0799020")</f>
        <v>0</v>
      </c>
      <c r="B435" t="s">
        <v>13</v>
      </c>
      <c r="C435" t="s">
        <v>52</v>
      </c>
      <c r="D435" t="s">
        <v>993</v>
      </c>
      <c r="E435" t="s">
        <v>1533</v>
      </c>
      <c r="F435" t="s">
        <v>2089</v>
      </c>
      <c r="G435">
        <v>10452</v>
      </c>
      <c r="K435">
        <v>1</v>
      </c>
      <c r="L435">
        <v>0</v>
      </c>
      <c r="M435">
        <v>72.83</v>
      </c>
    </row>
    <row r="436" spans="1:13">
      <c r="A436" s="1">
        <f>HYPERLINK("https://lsnyc.legalserver.org/matter/dynamic-profile/view/0817076","16-0817076")</f>
        <v>0</v>
      </c>
      <c r="B436" t="s">
        <v>13</v>
      </c>
      <c r="C436" t="s">
        <v>52</v>
      </c>
      <c r="D436" t="s">
        <v>993</v>
      </c>
      <c r="E436" t="s">
        <v>1533</v>
      </c>
      <c r="F436" t="s">
        <v>2089</v>
      </c>
      <c r="G436">
        <v>10452</v>
      </c>
      <c r="K436">
        <v>1</v>
      </c>
      <c r="L436">
        <v>0</v>
      </c>
      <c r="M436">
        <v>72.83</v>
      </c>
    </row>
    <row r="437" spans="1:13">
      <c r="A437" s="1">
        <f>HYPERLINK("https://lsnyc.legalserver.org/matter/dynamic-profile/view/0822627","16-0822627")</f>
        <v>0</v>
      </c>
      <c r="B437" t="s">
        <v>13</v>
      </c>
      <c r="C437" t="s">
        <v>52</v>
      </c>
      <c r="D437" t="s">
        <v>993</v>
      </c>
      <c r="E437" t="s">
        <v>1533</v>
      </c>
      <c r="F437" t="s">
        <v>2089</v>
      </c>
      <c r="G437">
        <v>10452</v>
      </c>
      <c r="K437">
        <v>1</v>
      </c>
      <c r="L437">
        <v>0</v>
      </c>
      <c r="M437">
        <v>72.83</v>
      </c>
    </row>
    <row r="438" spans="1:13">
      <c r="A438" s="1">
        <f>HYPERLINK("https://lsnyc.legalserver.org/matter/dynamic-profile/view/1844823","17-1844823")</f>
        <v>0</v>
      </c>
      <c r="B438" t="s">
        <v>13</v>
      </c>
      <c r="C438" t="s">
        <v>297</v>
      </c>
      <c r="D438" t="s">
        <v>96</v>
      </c>
      <c r="E438" t="s">
        <v>1529</v>
      </c>
      <c r="F438" t="s">
        <v>2091</v>
      </c>
      <c r="G438">
        <v>11213</v>
      </c>
      <c r="K438">
        <v>1</v>
      </c>
      <c r="L438">
        <v>0</v>
      </c>
      <c r="M438">
        <v>72.94</v>
      </c>
    </row>
    <row r="439" spans="1:13">
      <c r="A439" s="1">
        <f>HYPERLINK("https://lsnyc.legalserver.org/matter/dynamic-profile/view/1840770","17-1840770")</f>
        <v>0</v>
      </c>
      <c r="B439" t="s">
        <v>13</v>
      </c>
      <c r="C439" t="s">
        <v>298</v>
      </c>
      <c r="D439" t="s">
        <v>920</v>
      </c>
      <c r="E439" t="s">
        <v>1460</v>
      </c>
      <c r="F439" t="s">
        <v>2089</v>
      </c>
      <c r="G439">
        <v>10453</v>
      </c>
      <c r="K439">
        <v>1</v>
      </c>
      <c r="L439">
        <v>0</v>
      </c>
      <c r="M439">
        <v>72.94</v>
      </c>
    </row>
    <row r="440" spans="1:13">
      <c r="A440" s="1">
        <f>HYPERLINK("https://lsnyc.legalserver.org/matter/dynamic-profile/view/1854878","17-1854878")</f>
        <v>0</v>
      </c>
      <c r="B440" t="s">
        <v>13</v>
      </c>
      <c r="C440" t="s">
        <v>299</v>
      </c>
      <c r="D440" t="s">
        <v>753</v>
      </c>
      <c r="E440" t="s">
        <v>1533</v>
      </c>
      <c r="F440" t="s">
        <v>2089</v>
      </c>
      <c r="G440">
        <v>10452</v>
      </c>
      <c r="K440">
        <v>1</v>
      </c>
      <c r="L440">
        <v>0</v>
      </c>
      <c r="M440">
        <v>72.94</v>
      </c>
    </row>
    <row r="441" spans="1:13">
      <c r="A441" s="1">
        <f>HYPERLINK("https://lsnyc.legalserver.org/matter/dynamic-profile/view/1843916","17-1843916")</f>
        <v>0</v>
      </c>
      <c r="B441" t="s">
        <v>13</v>
      </c>
      <c r="C441" t="s">
        <v>136</v>
      </c>
      <c r="D441" t="s">
        <v>1004</v>
      </c>
      <c r="E441" t="s">
        <v>1666</v>
      </c>
      <c r="F441" t="s">
        <v>2093</v>
      </c>
      <c r="G441">
        <v>10040</v>
      </c>
      <c r="K441">
        <v>1</v>
      </c>
      <c r="L441">
        <v>0</v>
      </c>
      <c r="M441">
        <v>72.94</v>
      </c>
    </row>
    <row r="442" spans="1:13">
      <c r="A442" s="1">
        <f>HYPERLINK("https://lsnyc.legalserver.org/matter/dynamic-profile/view/1855227","18-1855227")</f>
        <v>0</v>
      </c>
      <c r="B442" t="s">
        <v>13</v>
      </c>
      <c r="C442" t="s">
        <v>299</v>
      </c>
      <c r="D442" t="s">
        <v>753</v>
      </c>
      <c r="E442" t="s">
        <v>1533</v>
      </c>
      <c r="F442" t="s">
        <v>2089</v>
      </c>
      <c r="G442">
        <v>10452</v>
      </c>
      <c r="K442">
        <v>1</v>
      </c>
      <c r="L442">
        <v>0</v>
      </c>
      <c r="M442">
        <v>72.94</v>
      </c>
    </row>
    <row r="443" spans="1:13">
      <c r="A443" s="1">
        <f>HYPERLINK("https://lsnyc.legalserver.org/matter/dynamic-profile/view/0792795","15-0792795")</f>
        <v>0</v>
      </c>
      <c r="B443" t="s">
        <v>13</v>
      </c>
      <c r="C443" t="s">
        <v>300</v>
      </c>
      <c r="D443" t="s">
        <v>1005</v>
      </c>
      <c r="E443" t="s">
        <v>1462</v>
      </c>
      <c r="F443" t="s">
        <v>2092</v>
      </c>
      <c r="G443">
        <v>11354</v>
      </c>
      <c r="K443">
        <v>2</v>
      </c>
      <c r="L443">
        <v>0</v>
      </c>
      <c r="M443">
        <v>72.98999999999999</v>
      </c>
    </row>
    <row r="444" spans="1:13">
      <c r="A444" s="1">
        <f>HYPERLINK("https://lsnyc.legalserver.org/matter/dynamic-profile/view/1840271","17-1840271")</f>
        <v>0</v>
      </c>
      <c r="B444" t="s">
        <v>13</v>
      </c>
      <c r="C444" t="s">
        <v>39</v>
      </c>
      <c r="D444" t="s">
        <v>931</v>
      </c>
      <c r="E444" t="s">
        <v>1715</v>
      </c>
      <c r="F444" t="s">
        <v>2093</v>
      </c>
      <c r="G444">
        <v>10034</v>
      </c>
      <c r="K444">
        <v>1</v>
      </c>
      <c r="L444">
        <v>0</v>
      </c>
      <c r="M444">
        <v>73.03</v>
      </c>
    </row>
    <row r="445" spans="1:13">
      <c r="A445" s="1">
        <f>HYPERLINK("https://lsnyc.legalserver.org/matter/dynamic-profile/view/1845197","17-1845197")</f>
        <v>0</v>
      </c>
      <c r="B445" t="s">
        <v>14</v>
      </c>
      <c r="C445" t="s">
        <v>301</v>
      </c>
      <c r="D445" t="s">
        <v>1006</v>
      </c>
      <c r="E445" t="s">
        <v>1716</v>
      </c>
      <c r="F445" t="s">
        <v>2089</v>
      </c>
      <c r="G445">
        <v>10455</v>
      </c>
      <c r="K445">
        <v>1</v>
      </c>
      <c r="L445">
        <v>0</v>
      </c>
      <c r="M445">
        <v>73.13</v>
      </c>
    </row>
    <row r="446" spans="1:13">
      <c r="A446" s="1">
        <f>HYPERLINK("https://lsnyc.legalserver.org/matter/dynamic-profile/view/0826864","17-0826864")</f>
        <v>0</v>
      </c>
      <c r="B446" t="s">
        <v>14</v>
      </c>
      <c r="C446" t="s">
        <v>301</v>
      </c>
      <c r="D446" t="s">
        <v>1006</v>
      </c>
      <c r="E446" t="s">
        <v>1716</v>
      </c>
      <c r="F446" t="s">
        <v>2089</v>
      </c>
      <c r="G446">
        <v>10455</v>
      </c>
      <c r="K446">
        <v>1</v>
      </c>
      <c r="L446">
        <v>0</v>
      </c>
      <c r="M446">
        <v>73.13</v>
      </c>
    </row>
    <row r="447" spans="1:13">
      <c r="A447" s="1">
        <f>HYPERLINK("https://lsnyc.legalserver.org/matter/dynamic-profile/view/1854064","17-1854064")</f>
        <v>0</v>
      </c>
      <c r="B447" t="s">
        <v>13</v>
      </c>
      <c r="C447" t="s">
        <v>231</v>
      </c>
      <c r="D447" t="s">
        <v>928</v>
      </c>
      <c r="E447" t="s">
        <v>1641</v>
      </c>
      <c r="F447" t="s">
        <v>2090</v>
      </c>
      <c r="G447">
        <v>10304</v>
      </c>
      <c r="K447">
        <v>1</v>
      </c>
      <c r="L447">
        <v>0</v>
      </c>
      <c r="M447">
        <v>73.13</v>
      </c>
    </row>
    <row r="448" spans="1:13">
      <c r="A448" s="1">
        <f>HYPERLINK("https://lsnyc.legalserver.org/matter/dynamic-profile/view/1850896","17-1850896")</f>
        <v>0</v>
      </c>
      <c r="B448" t="s">
        <v>13</v>
      </c>
      <c r="C448" t="s">
        <v>208</v>
      </c>
      <c r="D448" t="s">
        <v>773</v>
      </c>
      <c r="E448" t="s">
        <v>1711</v>
      </c>
      <c r="F448" t="s">
        <v>2093</v>
      </c>
      <c r="G448">
        <v>10034</v>
      </c>
      <c r="K448">
        <v>1</v>
      </c>
      <c r="L448">
        <v>0</v>
      </c>
      <c r="M448">
        <v>73.13</v>
      </c>
    </row>
    <row r="449" spans="1:13">
      <c r="A449" s="1">
        <f>HYPERLINK("https://lsnyc.legalserver.org/matter/dynamic-profile/view/1844827","17-1844827")</f>
        <v>0</v>
      </c>
      <c r="B449" t="s">
        <v>13</v>
      </c>
      <c r="C449" t="s">
        <v>224</v>
      </c>
      <c r="D449" t="s">
        <v>814</v>
      </c>
      <c r="E449" t="s">
        <v>1529</v>
      </c>
      <c r="F449" t="s">
        <v>2091</v>
      </c>
      <c r="G449">
        <v>11213</v>
      </c>
      <c r="K449">
        <v>1</v>
      </c>
      <c r="L449">
        <v>0</v>
      </c>
      <c r="M449">
        <v>73.13</v>
      </c>
    </row>
    <row r="450" spans="1:13">
      <c r="A450" s="1">
        <f>HYPERLINK("https://lsnyc.legalserver.org/matter/dynamic-profile/view/1843237","17-1843237")</f>
        <v>0</v>
      </c>
      <c r="B450" t="s">
        <v>13</v>
      </c>
      <c r="C450" t="s">
        <v>302</v>
      </c>
      <c r="D450" t="s">
        <v>761</v>
      </c>
      <c r="E450" t="s">
        <v>1529</v>
      </c>
      <c r="F450" t="s">
        <v>2091</v>
      </c>
      <c r="G450">
        <v>11213</v>
      </c>
      <c r="K450">
        <v>1</v>
      </c>
      <c r="L450">
        <v>0</v>
      </c>
      <c r="M450">
        <v>73.13</v>
      </c>
    </row>
    <row r="451" spans="1:13">
      <c r="A451" s="1">
        <f>HYPERLINK("https://lsnyc.legalserver.org/matter/dynamic-profile/view/1856558","18-1856558")</f>
        <v>0</v>
      </c>
      <c r="B451" t="s">
        <v>13</v>
      </c>
      <c r="C451" t="s">
        <v>302</v>
      </c>
      <c r="D451" t="s">
        <v>1007</v>
      </c>
      <c r="E451" t="s">
        <v>1529</v>
      </c>
      <c r="F451" t="s">
        <v>2091</v>
      </c>
      <c r="G451">
        <v>11213</v>
      </c>
      <c r="K451">
        <v>1</v>
      </c>
      <c r="L451">
        <v>0</v>
      </c>
      <c r="M451">
        <v>73.13</v>
      </c>
    </row>
    <row r="452" spans="1:13">
      <c r="A452" s="1">
        <f>HYPERLINK("https://lsnyc.legalserver.org/matter/dynamic-profile/view/1858315","18-1858315")</f>
        <v>0</v>
      </c>
      <c r="B452" t="s">
        <v>13</v>
      </c>
      <c r="C452" t="s">
        <v>302</v>
      </c>
      <c r="D452" t="s">
        <v>1008</v>
      </c>
      <c r="E452" t="s">
        <v>1529</v>
      </c>
      <c r="F452" t="s">
        <v>2091</v>
      </c>
      <c r="G452">
        <v>11213</v>
      </c>
      <c r="K452">
        <v>1</v>
      </c>
      <c r="L452">
        <v>0</v>
      </c>
      <c r="M452">
        <v>73.13</v>
      </c>
    </row>
    <row r="453" spans="1:13">
      <c r="A453" s="1">
        <f>HYPERLINK("https://lsnyc.legalserver.org/matter/dynamic-profile/view/1852538","17-1852538")</f>
        <v>0</v>
      </c>
      <c r="B453" t="s">
        <v>13</v>
      </c>
      <c r="C453" t="s">
        <v>303</v>
      </c>
      <c r="D453" t="s">
        <v>756</v>
      </c>
      <c r="E453" t="s">
        <v>1717</v>
      </c>
      <c r="F453" t="s">
        <v>2089</v>
      </c>
      <c r="G453">
        <v>10453</v>
      </c>
      <c r="K453">
        <v>1</v>
      </c>
      <c r="L453">
        <v>0</v>
      </c>
      <c r="M453">
        <v>73.13</v>
      </c>
    </row>
    <row r="454" spans="1:13">
      <c r="A454" s="1">
        <f>HYPERLINK("https://lsnyc.legalserver.org/matter/dynamic-profile/view/1835394","17-1835394")</f>
        <v>0</v>
      </c>
      <c r="B454" t="s">
        <v>13</v>
      </c>
      <c r="C454" t="s">
        <v>302</v>
      </c>
      <c r="D454" t="s">
        <v>1009</v>
      </c>
      <c r="E454" t="s">
        <v>1529</v>
      </c>
      <c r="F454" t="s">
        <v>2091</v>
      </c>
      <c r="G454">
        <v>11213</v>
      </c>
      <c r="K454">
        <v>1</v>
      </c>
      <c r="L454">
        <v>0</v>
      </c>
      <c r="M454">
        <v>73.13</v>
      </c>
    </row>
    <row r="455" spans="1:13">
      <c r="A455" s="1">
        <f>HYPERLINK("https://lsnyc.legalserver.org/matter/dynamic-profile/view/0831617","17-0831617")</f>
        <v>0</v>
      </c>
      <c r="B455" t="s">
        <v>13</v>
      </c>
      <c r="C455" t="s">
        <v>304</v>
      </c>
      <c r="D455" t="s">
        <v>1010</v>
      </c>
      <c r="E455" t="s">
        <v>1718</v>
      </c>
      <c r="F455" t="s">
        <v>2091</v>
      </c>
      <c r="G455">
        <v>11205</v>
      </c>
      <c r="K455">
        <v>1</v>
      </c>
      <c r="L455">
        <v>0</v>
      </c>
      <c r="M455">
        <v>73.13</v>
      </c>
    </row>
    <row r="456" spans="1:13">
      <c r="A456" s="1">
        <f>HYPERLINK("https://lsnyc.legalserver.org/matter/dynamic-profile/view/1849320","17-1849320")</f>
        <v>0</v>
      </c>
      <c r="B456" t="s">
        <v>13</v>
      </c>
      <c r="C456" t="s">
        <v>165</v>
      </c>
      <c r="D456" t="s">
        <v>1011</v>
      </c>
      <c r="E456" t="s">
        <v>1719</v>
      </c>
      <c r="F456" t="s">
        <v>2093</v>
      </c>
      <c r="G456">
        <v>10035</v>
      </c>
      <c r="K456">
        <v>1</v>
      </c>
      <c r="L456">
        <v>0</v>
      </c>
      <c r="M456">
        <v>73.13</v>
      </c>
    </row>
    <row r="457" spans="1:13">
      <c r="A457" s="1">
        <f>HYPERLINK("https://lsnyc.legalserver.org/matter/dynamic-profile/view/1853494","17-1853494")</f>
        <v>0</v>
      </c>
      <c r="B457" t="s">
        <v>13</v>
      </c>
      <c r="C457" t="s">
        <v>77</v>
      </c>
      <c r="D457" t="s">
        <v>1012</v>
      </c>
      <c r="E457" t="s">
        <v>1720</v>
      </c>
      <c r="F457" t="s">
        <v>2093</v>
      </c>
      <c r="G457">
        <v>10034</v>
      </c>
      <c r="K457">
        <v>3</v>
      </c>
      <c r="L457">
        <v>0</v>
      </c>
      <c r="M457">
        <v>73.45999999999999</v>
      </c>
    </row>
    <row r="458" spans="1:13">
      <c r="A458" s="1">
        <f>HYPERLINK("https://lsnyc.legalserver.org/matter/dynamic-profile/view/1868700","18-1868700")</f>
        <v>0</v>
      </c>
      <c r="B458" t="s">
        <v>13</v>
      </c>
      <c r="C458" t="s">
        <v>305</v>
      </c>
      <c r="D458" t="s">
        <v>1013</v>
      </c>
      <c r="E458" t="s">
        <v>1721</v>
      </c>
      <c r="F458" t="s">
        <v>2089</v>
      </c>
      <c r="G458">
        <v>10452</v>
      </c>
      <c r="K458">
        <v>1</v>
      </c>
      <c r="L458">
        <v>0</v>
      </c>
      <c r="M458">
        <v>73.73999999999999</v>
      </c>
    </row>
    <row r="459" spans="1:13">
      <c r="A459" s="1">
        <f>HYPERLINK("https://lsnyc.legalserver.org/matter/dynamic-profile/view/1860683","18-1860683")</f>
        <v>0</v>
      </c>
      <c r="B459" t="s">
        <v>13</v>
      </c>
      <c r="C459" t="s">
        <v>305</v>
      </c>
      <c r="D459" t="s">
        <v>1013</v>
      </c>
      <c r="E459" t="s">
        <v>1721</v>
      </c>
      <c r="F459" t="s">
        <v>2089</v>
      </c>
      <c r="G459">
        <v>10452</v>
      </c>
      <c r="K459">
        <v>1</v>
      </c>
      <c r="L459">
        <v>0</v>
      </c>
      <c r="M459">
        <v>73.73999999999999</v>
      </c>
    </row>
    <row r="460" spans="1:13">
      <c r="A460" s="1">
        <f>HYPERLINK("https://lsnyc.legalserver.org/matter/dynamic-profile/view/1840379","17-1840379")</f>
        <v>0</v>
      </c>
      <c r="B460" t="s">
        <v>13</v>
      </c>
      <c r="C460" t="s">
        <v>306</v>
      </c>
      <c r="D460" t="s">
        <v>1014</v>
      </c>
      <c r="E460" t="s">
        <v>1632</v>
      </c>
      <c r="F460" t="s">
        <v>2093</v>
      </c>
      <c r="G460">
        <v>10033</v>
      </c>
      <c r="K460">
        <v>1</v>
      </c>
      <c r="L460">
        <v>0</v>
      </c>
      <c r="M460">
        <v>73.83</v>
      </c>
    </row>
    <row r="461" spans="1:13">
      <c r="A461" s="1">
        <f>HYPERLINK("https://lsnyc.legalserver.org/matter/dynamic-profile/view/1850821","17-1850821")</f>
        <v>0</v>
      </c>
      <c r="B461" t="s">
        <v>13</v>
      </c>
      <c r="C461" t="s">
        <v>307</v>
      </c>
      <c r="D461" t="s">
        <v>1015</v>
      </c>
      <c r="E461" t="s">
        <v>1722</v>
      </c>
      <c r="F461" t="s">
        <v>2093</v>
      </c>
      <c r="G461">
        <v>10035</v>
      </c>
      <c r="K461">
        <v>1</v>
      </c>
      <c r="L461">
        <v>0</v>
      </c>
      <c r="M461">
        <v>73.83</v>
      </c>
    </row>
    <row r="462" spans="1:13">
      <c r="A462" s="1">
        <f>HYPERLINK("https://lsnyc.legalserver.org/matter/dynamic-profile/view/0821540","16-0821540")</f>
        <v>0</v>
      </c>
      <c r="B462" t="s">
        <v>13</v>
      </c>
      <c r="C462" t="s">
        <v>308</v>
      </c>
      <c r="D462" t="s">
        <v>1016</v>
      </c>
      <c r="E462" t="s">
        <v>1473</v>
      </c>
      <c r="F462" t="s">
        <v>2089</v>
      </c>
      <c r="G462">
        <v>10467</v>
      </c>
      <c r="K462">
        <v>2</v>
      </c>
      <c r="L462">
        <v>0</v>
      </c>
      <c r="M462">
        <v>74.01000000000001</v>
      </c>
    </row>
    <row r="463" spans="1:13">
      <c r="A463" s="1">
        <f>HYPERLINK("https://lsnyc.legalserver.org/matter/dynamic-profile/view/0799481","16-0799481")</f>
        <v>0</v>
      </c>
      <c r="B463" t="s">
        <v>13</v>
      </c>
      <c r="C463" t="s">
        <v>309</v>
      </c>
      <c r="D463" t="s">
        <v>867</v>
      </c>
      <c r="E463" t="s">
        <v>1723</v>
      </c>
      <c r="F463" t="s">
        <v>2089</v>
      </c>
      <c r="G463">
        <v>10453</v>
      </c>
      <c r="K463">
        <v>1</v>
      </c>
      <c r="L463">
        <v>0</v>
      </c>
      <c r="M463">
        <v>74.04000000000001</v>
      </c>
    </row>
    <row r="464" spans="1:13">
      <c r="A464" s="1">
        <f>HYPERLINK("https://lsnyc.legalserver.org/matter/dynamic-profile/view/0819694","16-0819694")</f>
        <v>0</v>
      </c>
      <c r="B464" t="s">
        <v>13</v>
      </c>
      <c r="C464" t="s">
        <v>298</v>
      </c>
      <c r="D464" t="s">
        <v>920</v>
      </c>
      <c r="E464" t="s">
        <v>1460</v>
      </c>
      <c r="F464" t="s">
        <v>2089</v>
      </c>
      <c r="G464">
        <v>10453</v>
      </c>
      <c r="K464">
        <v>1</v>
      </c>
      <c r="L464">
        <v>0</v>
      </c>
      <c r="M464">
        <v>74.04000000000001</v>
      </c>
    </row>
    <row r="465" spans="1:13">
      <c r="A465" s="1">
        <f>HYPERLINK("https://lsnyc.legalserver.org/matter/dynamic-profile/view/0810993","16-0810993")</f>
        <v>0</v>
      </c>
      <c r="B465" t="s">
        <v>13</v>
      </c>
      <c r="C465" t="s">
        <v>310</v>
      </c>
      <c r="D465" t="s">
        <v>713</v>
      </c>
      <c r="E465" t="s">
        <v>1724</v>
      </c>
      <c r="F465" t="s">
        <v>2089</v>
      </c>
      <c r="G465">
        <v>10453</v>
      </c>
      <c r="K465">
        <v>1</v>
      </c>
      <c r="L465">
        <v>0</v>
      </c>
      <c r="M465">
        <v>74.04000000000001</v>
      </c>
    </row>
    <row r="466" spans="1:13">
      <c r="A466" s="1">
        <f>HYPERLINK("https://lsnyc.legalserver.org/matter/dynamic-profile/view/0819695","16-0819695")</f>
        <v>0</v>
      </c>
      <c r="B466" t="s">
        <v>13</v>
      </c>
      <c r="C466" t="s">
        <v>298</v>
      </c>
      <c r="D466" t="s">
        <v>920</v>
      </c>
      <c r="E466" t="s">
        <v>1460</v>
      </c>
      <c r="F466" t="s">
        <v>2089</v>
      </c>
      <c r="G466">
        <v>10453</v>
      </c>
      <c r="K466">
        <v>1</v>
      </c>
      <c r="L466">
        <v>0</v>
      </c>
      <c r="M466">
        <v>74.04000000000001</v>
      </c>
    </row>
    <row r="467" spans="1:13">
      <c r="A467" s="1">
        <f>HYPERLINK("https://lsnyc.legalserver.org/matter/dynamic-profile/view/0823682","17-0823682")</f>
        <v>0</v>
      </c>
      <c r="B467" t="s">
        <v>13</v>
      </c>
      <c r="C467" t="s">
        <v>311</v>
      </c>
      <c r="D467" t="s">
        <v>733</v>
      </c>
      <c r="E467" t="s">
        <v>1725</v>
      </c>
      <c r="F467" t="s">
        <v>2089</v>
      </c>
      <c r="G467">
        <v>10453</v>
      </c>
      <c r="K467">
        <v>1</v>
      </c>
      <c r="L467">
        <v>0</v>
      </c>
      <c r="M467">
        <v>74.04000000000001</v>
      </c>
    </row>
    <row r="468" spans="1:13">
      <c r="A468" s="1">
        <f>HYPERLINK("https://lsnyc.legalserver.org/matter/dynamic-profile/view/0799264","16-0799264")</f>
        <v>0</v>
      </c>
      <c r="B468" t="s">
        <v>13</v>
      </c>
      <c r="C468" t="s">
        <v>299</v>
      </c>
      <c r="D468" t="s">
        <v>753</v>
      </c>
      <c r="E468" t="s">
        <v>1533</v>
      </c>
      <c r="F468" t="s">
        <v>2089</v>
      </c>
      <c r="G468">
        <v>10452</v>
      </c>
      <c r="K468">
        <v>1</v>
      </c>
      <c r="L468">
        <v>0</v>
      </c>
      <c r="M468">
        <v>74.04000000000001</v>
      </c>
    </row>
    <row r="469" spans="1:13">
      <c r="A469" s="1">
        <f>HYPERLINK("https://lsnyc.legalserver.org/matter/dynamic-profile/view/0817052","16-0817052")</f>
        <v>0</v>
      </c>
      <c r="B469" t="s">
        <v>13</v>
      </c>
      <c r="C469" t="s">
        <v>299</v>
      </c>
      <c r="D469" t="s">
        <v>753</v>
      </c>
      <c r="E469" t="s">
        <v>1533</v>
      </c>
      <c r="F469" t="s">
        <v>2089</v>
      </c>
      <c r="G469">
        <v>10452</v>
      </c>
      <c r="K469">
        <v>1</v>
      </c>
      <c r="L469">
        <v>0</v>
      </c>
      <c r="M469">
        <v>74.04000000000001</v>
      </c>
    </row>
    <row r="470" spans="1:13">
      <c r="A470" s="1">
        <f>HYPERLINK("https://lsnyc.legalserver.org/matter/dynamic-profile/view/0822567","16-0822567")</f>
        <v>0</v>
      </c>
      <c r="B470" t="s">
        <v>13</v>
      </c>
      <c r="C470" t="s">
        <v>299</v>
      </c>
      <c r="D470" t="s">
        <v>753</v>
      </c>
      <c r="E470" t="s">
        <v>1533</v>
      </c>
      <c r="F470" t="s">
        <v>2089</v>
      </c>
      <c r="G470">
        <v>10452</v>
      </c>
      <c r="K470">
        <v>1</v>
      </c>
      <c r="L470">
        <v>0</v>
      </c>
      <c r="M470">
        <v>74.04000000000001</v>
      </c>
    </row>
    <row r="471" spans="1:13">
      <c r="A471" s="1">
        <f>HYPERLINK("https://lsnyc.legalserver.org/matter/dynamic-profile/view/0823681","17-0823681")</f>
        <v>0</v>
      </c>
      <c r="B471" t="s">
        <v>13</v>
      </c>
      <c r="C471" t="s">
        <v>311</v>
      </c>
      <c r="D471" t="s">
        <v>733</v>
      </c>
      <c r="E471" t="s">
        <v>1725</v>
      </c>
      <c r="F471" t="s">
        <v>2089</v>
      </c>
      <c r="G471">
        <v>10453</v>
      </c>
      <c r="K471">
        <v>1</v>
      </c>
      <c r="L471">
        <v>0</v>
      </c>
      <c r="M471">
        <v>74.04000000000001</v>
      </c>
    </row>
    <row r="472" spans="1:13">
      <c r="A472" s="1">
        <f>HYPERLINK("https://lsnyc.legalserver.org/matter/dynamic-profile/view/0811892","16-0811892")</f>
        <v>0</v>
      </c>
      <c r="B472" t="s">
        <v>13</v>
      </c>
      <c r="C472" t="s">
        <v>61</v>
      </c>
      <c r="D472" t="s">
        <v>1017</v>
      </c>
      <c r="E472" t="s">
        <v>1451</v>
      </c>
      <c r="F472" t="s">
        <v>2089</v>
      </c>
      <c r="G472">
        <v>10453</v>
      </c>
      <c r="K472">
        <v>1</v>
      </c>
      <c r="L472">
        <v>0</v>
      </c>
      <c r="M472">
        <v>74.06999999999999</v>
      </c>
    </row>
    <row r="473" spans="1:13">
      <c r="A473" s="1">
        <f>HYPERLINK("https://lsnyc.legalserver.org/matter/dynamic-profile/view/1868231","18-1868231")</f>
        <v>0</v>
      </c>
      <c r="B473" t="s">
        <v>13</v>
      </c>
      <c r="C473" t="s">
        <v>312</v>
      </c>
      <c r="D473" t="s">
        <v>1018</v>
      </c>
      <c r="E473" t="s">
        <v>1726</v>
      </c>
      <c r="F473" t="s">
        <v>2091</v>
      </c>
      <c r="G473">
        <v>11211</v>
      </c>
      <c r="K473">
        <v>2</v>
      </c>
      <c r="L473">
        <v>0</v>
      </c>
      <c r="M473">
        <v>74.12</v>
      </c>
    </row>
    <row r="474" spans="1:13">
      <c r="A474" s="1">
        <f>HYPERLINK("https://lsnyc.legalserver.org/matter/dynamic-profile/view/1851358","17-1851358")</f>
        <v>0</v>
      </c>
      <c r="B474" t="s">
        <v>13</v>
      </c>
      <c r="C474" t="s">
        <v>146</v>
      </c>
      <c r="D474" t="s">
        <v>1019</v>
      </c>
      <c r="E474" t="s">
        <v>1727</v>
      </c>
      <c r="F474" t="s">
        <v>2093</v>
      </c>
      <c r="G474">
        <v>10035</v>
      </c>
      <c r="K474">
        <v>1</v>
      </c>
      <c r="L474">
        <v>0</v>
      </c>
      <c r="M474">
        <v>74.13</v>
      </c>
    </row>
    <row r="475" spans="1:13">
      <c r="A475" s="1">
        <f>HYPERLINK("https://lsnyc.legalserver.org/matter/dynamic-profile/view/1868015","18-1868015")</f>
        <v>0</v>
      </c>
      <c r="B475" t="s">
        <v>13</v>
      </c>
      <c r="C475" t="s">
        <v>313</v>
      </c>
      <c r="D475" t="s">
        <v>1020</v>
      </c>
      <c r="E475" t="s">
        <v>1728</v>
      </c>
      <c r="F475" t="s">
        <v>2095</v>
      </c>
      <c r="G475">
        <v>11691</v>
      </c>
      <c r="K475">
        <v>1</v>
      </c>
      <c r="L475">
        <v>0</v>
      </c>
      <c r="M475">
        <v>74.14</v>
      </c>
    </row>
    <row r="476" spans="1:13">
      <c r="A476" s="1">
        <f>HYPERLINK("https://lsnyc.legalserver.org/matter/dynamic-profile/view/1862270","18-1862270")</f>
        <v>0</v>
      </c>
      <c r="B476" t="s">
        <v>13</v>
      </c>
      <c r="C476" t="s">
        <v>286</v>
      </c>
      <c r="D476" t="s">
        <v>1021</v>
      </c>
      <c r="E476" t="s">
        <v>1729</v>
      </c>
      <c r="F476" t="s">
        <v>2089</v>
      </c>
      <c r="G476">
        <v>10453</v>
      </c>
      <c r="K476">
        <v>1</v>
      </c>
      <c r="L476">
        <v>0</v>
      </c>
      <c r="M476">
        <v>74.14</v>
      </c>
    </row>
    <row r="477" spans="1:13">
      <c r="A477" s="1">
        <f>HYPERLINK("https://lsnyc.legalserver.org/matter/dynamic-profile/view/1863062","18-1863062")</f>
        <v>0</v>
      </c>
      <c r="B477" t="s">
        <v>13</v>
      </c>
      <c r="C477" t="s">
        <v>314</v>
      </c>
      <c r="D477" t="s">
        <v>1022</v>
      </c>
      <c r="E477" t="s">
        <v>1688</v>
      </c>
      <c r="F477" t="s">
        <v>2093</v>
      </c>
      <c r="G477">
        <v>10034</v>
      </c>
      <c r="K477">
        <v>1</v>
      </c>
      <c r="L477">
        <v>0</v>
      </c>
      <c r="M477">
        <v>74.14</v>
      </c>
    </row>
    <row r="478" spans="1:13">
      <c r="A478" s="1">
        <f>HYPERLINK("https://lsnyc.legalserver.org/matter/dynamic-profile/view/1870022","18-1870022")</f>
        <v>0</v>
      </c>
      <c r="B478" t="s">
        <v>13</v>
      </c>
      <c r="C478" t="s">
        <v>315</v>
      </c>
      <c r="D478" t="s">
        <v>1023</v>
      </c>
      <c r="E478" t="s">
        <v>1730</v>
      </c>
      <c r="F478" t="s">
        <v>2089</v>
      </c>
      <c r="G478">
        <v>10456</v>
      </c>
      <c r="K478">
        <v>1</v>
      </c>
      <c r="L478">
        <v>0</v>
      </c>
      <c r="M478">
        <v>74.14</v>
      </c>
    </row>
    <row r="479" spans="1:13">
      <c r="A479" s="1">
        <f>HYPERLINK("https://lsnyc.legalserver.org/matter/dynamic-profile/view/1864233","18-1864233")</f>
        <v>0</v>
      </c>
      <c r="B479" t="s">
        <v>13</v>
      </c>
      <c r="C479" t="s">
        <v>316</v>
      </c>
      <c r="D479" t="s">
        <v>825</v>
      </c>
      <c r="E479" t="s">
        <v>1731</v>
      </c>
      <c r="F479" t="s">
        <v>2089</v>
      </c>
      <c r="G479">
        <v>10470</v>
      </c>
      <c r="K479">
        <v>1</v>
      </c>
      <c r="L479">
        <v>0</v>
      </c>
      <c r="M479">
        <v>74.23</v>
      </c>
    </row>
    <row r="480" spans="1:13">
      <c r="A480" s="1">
        <f>HYPERLINK("https://lsnyc.legalserver.org/matter/dynamic-profile/view/0826241","17-0826241")</f>
        <v>0</v>
      </c>
      <c r="B480" t="s">
        <v>13</v>
      </c>
      <c r="C480" t="s">
        <v>81</v>
      </c>
      <c r="D480" t="s">
        <v>1024</v>
      </c>
      <c r="E480" t="s">
        <v>1555</v>
      </c>
      <c r="F480" t="s">
        <v>2093</v>
      </c>
      <c r="G480">
        <v>10040</v>
      </c>
      <c r="K480">
        <v>1</v>
      </c>
      <c r="L480">
        <v>0</v>
      </c>
      <c r="M480">
        <v>74.23999999999999</v>
      </c>
    </row>
    <row r="481" spans="1:13">
      <c r="A481" s="1">
        <f>HYPERLINK("https://lsnyc.legalserver.org/matter/dynamic-profile/view/1850115","17-1850115")</f>
        <v>0</v>
      </c>
      <c r="B481" t="s">
        <v>13</v>
      </c>
      <c r="C481" t="s">
        <v>317</v>
      </c>
      <c r="D481" t="s">
        <v>1025</v>
      </c>
      <c r="E481" t="s">
        <v>1732</v>
      </c>
      <c r="F481" t="s">
        <v>2091</v>
      </c>
      <c r="G481">
        <v>11207</v>
      </c>
      <c r="K481">
        <v>1</v>
      </c>
      <c r="L481">
        <v>0</v>
      </c>
      <c r="M481">
        <v>74.33</v>
      </c>
    </row>
    <row r="482" spans="1:13">
      <c r="A482" s="1">
        <f>HYPERLINK("https://lsnyc.legalserver.org/matter/dynamic-profile/view/1864438","18-1864438")</f>
        <v>0</v>
      </c>
      <c r="B482" t="s">
        <v>13</v>
      </c>
      <c r="C482" t="s">
        <v>318</v>
      </c>
      <c r="D482" t="s">
        <v>1026</v>
      </c>
      <c r="E482" t="s">
        <v>1547</v>
      </c>
      <c r="F482" t="s">
        <v>2089</v>
      </c>
      <c r="G482">
        <v>10452</v>
      </c>
      <c r="K482">
        <v>1</v>
      </c>
      <c r="L482">
        <v>0</v>
      </c>
      <c r="M482">
        <v>74.43000000000001</v>
      </c>
    </row>
    <row r="483" spans="1:13">
      <c r="A483" s="1">
        <f>HYPERLINK("https://lsnyc.legalserver.org/matter/dynamic-profile/view/1862196","18-1862196")</f>
        <v>0</v>
      </c>
      <c r="B483" t="s">
        <v>13</v>
      </c>
      <c r="C483" t="s">
        <v>318</v>
      </c>
      <c r="D483" t="s">
        <v>1026</v>
      </c>
      <c r="E483" t="s">
        <v>1547</v>
      </c>
      <c r="F483" t="s">
        <v>2089</v>
      </c>
      <c r="G483">
        <v>10452</v>
      </c>
      <c r="K483">
        <v>1</v>
      </c>
      <c r="L483">
        <v>0</v>
      </c>
      <c r="M483">
        <v>74.43000000000001</v>
      </c>
    </row>
    <row r="484" spans="1:13">
      <c r="A484" s="1">
        <f>HYPERLINK("https://lsnyc.legalserver.org/matter/dynamic-profile/view/1865145","18-1865145")</f>
        <v>0</v>
      </c>
      <c r="B484" t="s">
        <v>13</v>
      </c>
      <c r="C484" t="s">
        <v>215</v>
      </c>
      <c r="D484" t="s">
        <v>1027</v>
      </c>
      <c r="E484" t="s">
        <v>1733</v>
      </c>
      <c r="F484" t="s">
        <v>2089</v>
      </c>
      <c r="G484">
        <v>10452</v>
      </c>
      <c r="K484">
        <v>1</v>
      </c>
      <c r="L484">
        <v>0</v>
      </c>
      <c r="M484">
        <v>74.43000000000001</v>
      </c>
    </row>
    <row r="485" spans="1:13">
      <c r="A485" s="1">
        <f>HYPERLINK("https://lsnyc.legalserver.org/matter/dynamic-profile/view/1861579","18-1861579")</f>
        <v>0</v>
      </c>
      <c r="B485" t="s">
        <v>13</v>
      </c>
      <c r="C485" t="s">
        <v>52</v>
      </c>
      <c r="D485" t="s">
        <v>1028</v>
      </c>
      <c r="E485" t="s">
        <v>1666</v>
      </c>
      <c r="F485" t="s">
        <v>2093</v>
      </c>
      <c r="G485">
        <v>10040</v>
      </c>
      <c r="K485">
        <v>2</v>
      </c>
      <c r="L485">
        <v>0</v>
      </c>
      <c r="M485">
        <v>74.51000000000001</v>
      </c>
    </row>
    <row r="486" spans="1:13">
      <c r="A486" s="1">
        <f>HYPERLINK("https://lsnyc.legalserver.org/matter/dynamic-profile/view/1856360","18-1856360")</f>
        <v>0</v>
      </c>
      <c r="B486" t="s">
        <v>13</v>
      </c>
      <c r="C486" t="s">
        <v>319</v>
      </c>
      <c r="D486" t="s">
        <v>1029</v>
      </c>
      <c r="E486" t="s">
        <v>1684</v>
      </c>
      <c r="F486" t="s">
        <v>2089</v>
      </c>
      <c r="G486">
        <v>10453</v>
      </c>
      <c r="K486">
        <v>1</v>
      </c>
      <c r="L486">
        <v>0</v>
      </c>
      <c r="M486">
        <v>74.63</v>
      </c>
    </row>
    <row r="487" spans="1:13">
      <c r="A487" s="1">
        <f>HYPERLINK("https://lsnyc.legalserver.org/matter/dynamic-profile/view/1844891","17-1844891")</f>
        <v>0</v>
      </c>
      <c r="B487" t="s">
        <v>13</v>
      </c>
      <c r="C487" t="s">
        <v>286</v>
      </c>
      <c r="D487" t="s">
        <v>1021</v>
      </c>
      <c r="E487" t="s">
        <v>1729</v>
      </c>
      <c r="F487" t="s">
        <v>2089</v>
      </c>
      <c r="G487">
        <v>10453</v>
      </c>
      <c r="K487">
        <v>1</v>
      </c>
      <c r="L487">
        <v>0</v>
      </c>
      <c r="M487">
        <v>74.63</v>
      </c>
    </row>
    <row r="488" spans="1:13">
      <c r="A488" s="1">
        <f>HYPERLINK("https://lsnyc.legalserver.org/matter/dynamic-profile/view/1856048","18-1856048")</f>
        <v>0</v>
      </c>
      <c r="B488" t="s">
        <v>13</v>
      </c>
      <c r="C488" t="s">
        <v>320</v>
      </c>
      <c r="D488" t="s">
        <v>1030</v>
      </c>
      <c r="E488" t="s">
        <v>1734</v>
      </c>
      <c r="F488" t="s">
        <v>2091</v>
      </c>
      <c r="G488">
        <v>11208</v>
      </c>
      <c r="K488">
        <v>1</v>
      </c>
      <c r="L488">
        <v>0</v>
      </c>
      <c r="M488">
        <v>74.63</v>
      </c>
    </row>
    <row r="489" spans="1:13">
      <c r="A489" s="1">
        <f>HYPERLINK("https://lsnyc.legalserver.org/matter/dynamic-profile/view/1857246","18-1857246")</f>
        <v>0</v>
      </c>
      <c r="B489" t="s">
        <v>13</v>
      </c>
      <c r="C489" t="s">
        <v>321</v>
      </c>
      <c r="D489" t="s">
        <v>995</v>
      </c>
      <c r="E489" t="s">
        <v>1632</v>
      </c>
      <c r="F489" t="s">
        <v>2093</v>
      </c>
      <c r="G489">
        <v>10033</v>
      </c>
      <c r="K489">
        <v>1</v>
      </c>
      <c r="L489">
        <v>0</v>
      </c>
      <c r="M489">
        <v>74.63</v>
      </c>
    </row>
    <row r="490" spans="1:13">
      <c r="A490" s="1">
        <f>HYPERLINK("https://lsnyc.legalserver.org/matter/dynamic-profile/view/0781949","15-0781949")</f>
        <v>0</v>
      </c>
      <c r="B490" t="s">
        <v>13</v>
      </c>
      <c r="C490" t="s">
        <v>311</v>
      </c>
      <c r="D490" t="s">
        <v>733</v>
      </c>
      <c r="E490" t="s">
        <v>1725</v>
      </c>
      <c r="F490" t="s">
        <v>2089</v>
      </c>
      <c r="G490">
        <v>10453</v>
      </c>
      <c r="K490">
        <v>1</v>
      </c>
      <c r="L490">
        <v>0</v>
      </c>
      <c r="M490">
        <v>74.73</v>
      </c>
    </row>
    <row r="491" spans="1:13">
      <c r="A491" s="1">
        <f>HYPERLINK("https://lsnyc.legalserver.org/matter/dynamic-profile/view/1844285","17-1844285")</f>
        <v>0</v>
      </c>
      <c r="B491" t="s">
        <v>14</v>
      </c>
      <c r="C491" t="s">
        <v>316</v>
      </c>
      <c r="D491" t="s">
        <v>825</v>
      </c>
      <c r="E491" t="s">
        <v>1731</v>
      </c>
      <c r="F491" t="s">
        <v>2089</v>
      </c>
      <c r="G491">
        <v>10470</v>
      </c>
      <c r="K491">
        <v>1</v>
      </c>
      <c r="L491">
        <v>0</v>
      </c>
      <c r="M491">
        <v>74.73</v>
      </c>
    </row>
    <row r="492" spans="1:13">
      <c r="A492" s="1">
        <f>HYPERLINK("https://lsnyc.legalserver.org/matter/dynamic-profile/view/0812626","16-0812626")</f>
        <v>0</v>
      </c>
      <c r="B492" t="s">
        <v>13</v>
      </c>
      <c r="C492" t="s">
        <v>39</v>
      </c>
      <c r="D492" t="s">
        <v>1031</v>
      </c>
      <c r="E492" t="s">
        <v>1735</v>
      </c>
      <c r="F492" t="s">
        <v>2089</v>
      </c>
      <c r="G492">
        <v>10452</v>
      </c>
      <c r="K492">
        <v>1</v>
      </c>
      <c r="L492">
        <v>0</v>
      </c>
      <c r="M492">
        <v>74.75</v>
      </c>
    </row>
    <row r="493" spans="1:13">
      <c r="A493" s="1">
        <f>HYPERLINK("https://lsnyc.legalserver.org/matter/dynamic-profile/view/0832754","17-0832754")</f>
        <v>0</v>
      </c>
      <c r="B493" t="s">
        <v>13</v>
      </c>
      <c r="C493" t="s">
        <v>44</v>
      </c>
      <c r="D493" t="s">
        <v>64</v>
      </c>
      <c r="E493" t="s">
        <v>1453</v>
      </c>
      <c r="F493" t="s">
        <v>2089</v>
      </c>
      <c r="G493">
        <v>10452</v>
      </c>
      <c r="K493">
        <v>1</v>
      </c>
      <c r="L493">
        <v>0</v>
      </c>
      <c r="M493">
        <v>74.83</v>
      </c>
    </row>
    <row r="494" spans="1:13">
      <c r="A494" s="1">
        <f>HYPERLINK("https://lsnyc.legalserver.org/matter/dynamic-profile/view/0812500","16-0812500")</f>
        <v>0</v>
      </c>
      <c r="B494" t="s">
        <v>13</v>
      </c>
      <c r="C494" t="s">
        <v>322</v>
      </c>
      <c r="D494" t="s">
        <v>1032</v>
      </c>
      <c r="E494" t="s">
        <v>1735</v>
      </c>
      <c r="F494" t="s">
        <v>2089</v>
      </c>
      <c r="G494">
        <v>10452</v>
      </c>
      <c r="K494">
        <v>2</v>
      </c>
      <c r="L494">
        <v>0</v>
      </c>
      <c r="M494">
        <v>74.83</v>
      </c>
    </row>
    <row r="495" spans="1:13">
      <c r="A495" s="1">
        <f>HYPERLINK("https://lsnyc.legalserver.org/matter/dynamic-profile/view/1841709","17-1841709")</f>
        <v>0</v>
      </c>
      <c r="B495" t="s">
        <v>13</v>
      </c>
      <c r="C495" t="s">
        <v>215</v>
      </c>
      <c r="D495" t="s">
        <v>1027</v>
      </c>
      <c r="E495" t="s">
        <v>1733</v>
      </c>
      <c r="F495" t="s">
        <v>2089</v>
      </c>
      <c r="G495">
        <v>10452</v>
      </c>
      <c r="K495">
        <v>1</v>
      </c>
      <c r="L495">
        <v>0</v>
      </c>
      <c r="M495">
        <v>74.93000000000001</v>
      </c>
    </row>
    <row r="496" spans="1:13">
      <c r="A496" s="1">
        <f>HYPERLINK("https://lsnyc.legalserver.org/matter/dynamic-profile/view/1842445","17-1842445")</f>
        <v>0</v>
      </c>
      <c r="B496" t="s">
        <v>13</v>
      </c>
      <c r="C496" t="s">
        <v>323</v>
      </c>
      <c r="D496" t="s">
        <v>854</v>
      </c>
      <c r="E496" t="s">
        <v>1736</v>
      </c>
      <c r="F496" t="s">
        <v>2089</v>
      </c>
      <c r="G496">
        <v>10453</v>
      </c>
      <c r="K496">
        <v>2</v>
      </c>
      <c r="L496">
        <v>0</v>
      </c>
      <c r="M496">
        <v>75.09</v>
      </c>
    </row>
    <row r="497" spans="1:13">
      <c r="A497" s="1">
        <f>HYPERLINK("https://lsnyc.legalserver.org/matter/dynamic-profile/view/1853663","17-1853663")</f>
        <v>0</v>
      </c>
      <c r="B497" t="s">
        <v>13</v>
      </c>
      <c r="C497" t="s">
        <v>323</v>
      </c>
      <c r="D497" t="s">
        <v>854</v>
      </c>
      <c r="E497" t="s">
        <v>1736</v>
      </c>
      <c r="F497" t="s">
        <v>2089</v>
      </c>
      <c r="G497">
        <v>10453</v>
      </c>
      <c r="K497">
        <v>2</v>
      </c>
      <c r="L497">
        <v>0</v>
      </c>
      <c r="M497">
        <v>75.09</v>
      </c>
    </row>
    <row r="498" spans="1:13">
      <c r="A498" s="1">
        <f>HYPERLINK("https://lsnyc.legalserver.org/matter/dynamic-profile/view/0827585","17-0827585")</f>
        <v>0</v>
      </c>
      <c r="B498" t="s">
        <v>13</v>
      </c>
      <c r="C498" t="s">
        <v>323</v>
      </c>
      <c r="D498" t="s">
        <v>854</v>
      </c>
      <c r="E498" t="s">
        <v>1736</v>
      </c>
      <c r="F498" t="s">
        <v>2089</v>
      </c>
      <c r="G498">
        <v>10453</v>
      </c>
      <c r="K498">
        <v>2</v>
      </c>
      <c r="L498">
        <v>0</v>
      </c>
      <c r="M498">
        <v>75.09</v>
      </c>
    </row>
    <row r="499" spans="1:13">
      <c r="A499" s="1">
        <f>HYPERLINK("https://lsnyc.legalserver.org/matter/dynamic-profile/view/1833850","17-1833850")</f>
        <v>0</v>
      </c>
      <c r="B499" t="s">
        <v>13</v>
      </c>
      <c r="C499" t="s">
        <v>324</v>
      </c>
      <c r="D499" t="s">
        <v>1033</v>
      </c>
      <c r="E499" t="s">
        <v>1737</v>
      </c>
      <c r="F499" t="s">
        <v>2093</v>
      </c>
      <c r="G499">
        <v>10035</v>
      </c>
      <c r="K499">
        <v>1</v>
      </c>
      <c r="L499">
        <v>0</v>
      </c>
      <c r="M499">
        <v>75.12</v>
      </c>
    </row>
    <row r="500" spans="1:13">
      <c r="A500" s="1">
        <f>HYPERLINK("https://lsnyc.legalserver.org/matter/dynamic-profile/view/0817741","16-0817741")</f>
        <v>0</v>
      </c>
      <c r="B500" t="s">
        <v>13</v>
      </c>
      <c r="C500" t="s">
        <v>325</v>
      </c>
      <c r="D500" t="s">
        <v>220</v>
      </c>
      <c r="E500" t="s">
        <v>1453</v>
      </c>
      <c r="F500" t="s">
        <v>2089</v>
      </c>
      <c r="G500">
        <v>10452</v>
      </c>
      <c r="K500">
        <v>1</v>
      </c>
      <c r="L500">
        <v>0</v>
      </c>
      <c r="M500">
        <v>75.15000000000001</v>
      </c>
    </row>
    <row r="501" spans="1:13">
      <c r="A501" s="1">
        <f>HYPERLINK("https://lsnyc.legalserver.org/matter/dynamic-profile/view/0820581","16-0820581")</f>
        <v>0</v>
      </c>
      <c r="B501" t="s">
        <v>13</v>
      </c>
      <c r="C501" t="s">
        <v>325</v>
      </c>
      <c r="D501" t="s">
        <v>220</v>
      </c>
      <c r="E501" t="s">
        <v>1453</v>
      </c>
      <c r="F501" t="s">
        <v>2089</v>
      </c>
      <c r="G501">
        <v>10452</v>
      </c>
      <c r="K501">
        <v>1</v>
      </c>
      <c r="L501">
        <v>0</v>
      </c>
      <c r="M501">
        <v>75.15000000000001</v>
      </c>
    </row>
    <row r="502" spans="1:13">
      <c r="A502" s="1">
        <f>HYPERLINK("https://lsnyc.legalserver.org/matter/dynamic-profile/view/1849456","17-1849456")</f>
        <v>0</v>
      </c>
      <c r="B502" t="s">
        <v>13</v>
      </c>
      <c r="C502" t="s">
        <v>326</v>
      </c>
      <c r="D502" t="s">
        <v>715</v>
      </c>
      <c r="E502" t="s">
        <v>1738</v>
      </c>
      <c r="F502" t="s">
        <v>2091</v>
      </c>
      <c r="G502">
        <v>11208</v>
      </c>
      <c r="K502">
        <v>1</v>
      </c>
      <c r="L502">
        <v>0</v>
      </c>
      <c r="M502">
        <v>75.22</v>
      </c>
    </row>
    <row r="503" spans="1:13">
      <c r="A503" s="1">
        <f>HYPERLINK("https://lsnyc.legalserver.org/matter/dynamic-profile/view/0804441","16-0804441")</f>
        <v>0</v>
      </c>
      <c r="B503" t="s">
        <v>13</v>
      </c>
      <c r="C503" t="s">
        <v>327</v>
      </c>
      <c r="D503" t="s">
        <v>919</v>
      </c>
      <c r="E503" t="s">
        <v>1462</v>
      </c>
      <c r="F503" t="s">
        <v>2092</v>
      </c>
      <c r="G503">
        <v>11354</v>
      </c>
      <c r="K503">
        <v>3</v>
      </c>
      <c r="L503">
        <v>0</v>
      </c>
      <c r="M503">
        <v>75.40000000000001</v>
      </c>
    </row>
    <row r="504" spans="1:13">
      <c r="A504" s="1">
        <f>HYPERLINK("https://lsnyc.legalserver.org/matter/dynamic-profile/view/1857586","18-1857586")</f>
        <v>0</v>
      </c>
      <c r="B504" t="s">
        <v>13</v>
      </c>
      <c r="C504" t="s">
        <v>15</v>
      </c>
      <c r="D504" t="s">
        <v>1034</v>
      </c>
      <c r="E504" t="s">
        <v>1552</v>
      </c>
      <c r="F504" t="s">
        <v>2093</v>
      </c>
      <c r="G504">
        <v>10034</v>
      </c>
      <c r="K504">
        <v>1</v>
      </c>
      <c r="L504">
        <v>0</v>
      </c>
      <c r="M504">
        <v>75.42</v>
      </c>
    </row>
    <row r="505" spans="1:13">
      <c r="A505" s="1">
        <f>HYPERLINK("https://lsnyc.legalserver.org/matter/dynamic-profile/view/1849264","17-1849264")</f>
        <v>0</v>
      </c>
      <c r="B505" t="s">
        <v>13</v>
      </c>
      <c r="C505" t="s">
        <v>328</v>
      </c>
      <c r="D505" t="s">
        <v>756</v>
      </c>
      <c r="E505" t="s">
        <v>1529</v>
      </c>
      <c r="F505" t="s">
        <v>2091</v>
      </c>
      <c r="G505">
        <v>11213</v>
      </c>
      <c r="K505">
        <v>1</v>
      </c>
      <c r="L505">
        <v>0</v>
      </c>
      <c r="M505">
        <v>75.52</v>
      </c>
    </row>
    <row r="506" spans="1:13">
      <c r="A506" s="1">
        <f>HYPERLINK("https://lsnyc.legalserver.org/matter/dynamic-profile/view/1843552","17-1843552")</f>
        <v>0</v>
      </c>
      <c r="B506" t="s">
        <v>13</v>
      </c>
      <c r="C506" t="s">
        <v>329</v>
      </c>
      <c r="D506" t="s">
        <v>1035</v>
      </c>
      <c r="E506" t="s">
        <v>1739</v>
      </c>
      <c r="F506" t="s">
        <v>2089</v>
      </c>
      <c r="G506">
        <v>10467</v>
      </c>
      <c r="K506">
        <v>2</v>
      </c>
      <c r="L506">
        <v>0</v>
      </c>
      <c r="M506">
        <v>75.59</v>
      </c>
    </row>
    <row r="507" spans="1:13">
      <c r="A507" s="1">
        <f>HYPERLINK("https://lsnyc.legalserver.org/matter/dynamic-profile/view/0817222","16-0817222")</f>
        <v>0</v>
      </c>
      <c r="B507" t="s">
        <v>13</v>
      </c>
      <c r="C507" t="s">
        <v>330</v>
      </c>
      <c r="D507" t="s">
        <v>1036</v>
      </c>
      <c r="E507" t="s">
        <v>1740</v>
      </c>
      <c r="F507" t="s">
        <v>2091</v>
      </c>
      <c r="G507">
        <v>11235</v>
      </c>
      <c r="K507">
        <v>1</v>
      </c>
      <c r="L507">
        <v>0</v>
      </c>
      <c r="M507">
        <v>75.76000000000001</v>
      </c>
    </row>
    <row r="508" spans="1:13">
      <c r="A508" s="1">
        <f>HYPERLINK("https://lsnyc.legalserver.org/matter/dynamic-profile/view/0821390","16-0821390")</f>
        <v>0</v>
      </c>
      <c r="B508" t="s">
        <v>13</v>
      </c>
      <c r="C508" t="s">
        <v>328</v>
      </c>
      <c r="D508" t="s">
        <v>1037</v>
      </c>
      <c r="E508" t="s">
        <v>1473</v>
      </c>
      <c r="F508" t="s">
        <v>2089</v>
      </c>
      <c r="G508">
        <v>10467</v>
      </c>
      <c r="K508">
        <v>2</v>
      </c>
      <c r="L508">
        <v>0</v>
      </c>
      <c r="M508">
        <v>75.88</v>
      </c>
    </row>
    <row r="509" spans="1:13">
      <c r="A509" s="1">
        <f>HYPERLINK("https://lsnyc.legalserver.org/matter/dynamic-profile/view/0805659","16-0805659")</f>
        <v>0</v>
      </c>
      <c r="B509" t="s">
        <v>13</v>
      </c>
      <c r="C509" t="s">
        <v>331</v>
      </c>
      <c r="D509" t="s">
        <v>1038</v>
      </c>
      <c r="E509" t="s">
        <v>1741</v>
      </c>
      <c r="F509" t="s">
        <v>2091</v>
      </c>
      <c r="G509">
        <v>11212</v>
      </c>
      <c r="K509">
        <v>1</v>
      </c>
      <c r="L509">
        <v>0</v>
      </c>
      <c r="M509">
        <v>75.95999999999999</v>
      </c>
    </row>
    <row r="510" spans="1:13">
      <c r="A510" s="1">
        <f>HYPERLINK("https://lsnyc.legalserver.org/matter/dynamic-profile/view/0809028","16-0809028")</f>
        <v>0</v>
      </c>
      <c r="B510" t="s">
        <v>13</v>
      </c>
      <c r="C510" t="s">
        <v>331</v>
      </c>
      <c r="D510" t="s">
        <v>1038</v>
      </c>
      <c r="E510" t="s">
        <v>1741</v>
      </c>
      <c r="F510" t="s">
        <v>2091</v>
      </c>
      <c r="G510">
        <v>11212</v>
      </c>
      <c r="K510">
        <v>1</v>
      </c>
      <c r="L510">
        <v>0</v>
      </c>
      <c r="M510">
        <v>76.06</v>
      </c>
    </row>
    <row r="511" spans="1:13">
      <c r="A511" s="1">
        <f>HYPERLINK("https://lsnyc.legalserver.org/matter/dynamic-profile/view/0821825","16-0821825")</f>
        <v>0</v>
      </c>
      <c r="B511" t="s">
        <v>13</v>
      </c>
      <c r="C511" t="s">
        <v>215</v>
      </c>
      <c r="D511" t="s">
        <v>1027</v>
      </c>
      <c r="E511" t="s">
        <v>1733</v>
      </c>
      <c r="F511" t="s">
        <v>2089</v>
      </c>
      <c r="G511">
        <v>10452</v>
      </c>
      <c r="K511">
        <v>1</v>
      </c>
      <c r="L511">
        <v>0</v>
      </c>
      <c r="M511">
        <v>76.06</v>
      </c>
    </row>
    <row r="512" spans="1:13">
      <c r="A512" s="1">
        <f>HYPERLINK("https://lsnyc.legalserver.org/matter/dynamic-profile/view/1868581","18-1868581")</f>
        <v>0</v>
      </c>
      <c r="B512" t="s">
        <v>13</v>
      </c>
      <c r="C512" t="s">
        <v>31</v>
      </c>
      <c r="D512" t="s">
        <v>1039</v>
      </c>
      <c r="E512" t="s">
        <v>1619</v>
      </c>
      <c r="F512" t="s">
        <v>2091</v>
      </c>
      <c r="G512">
        <v>11206</v>
      </c>
      <c r="K512">
        <v>1</v>
      </c>
      <c r="L512">
        <v>0</v>
      </c>
      <c r="M512">
        <v>76.11</v>
      </c>
    </row>
    <row r="513" spans="1:13">
      <c r="A513" s="1">
        <f>HYPERLINK("https://lsnyc.legalserver.org/matter/dynamic-profile/view/1869987","18-1869987")</f>
        <v>0</v>
      </c>
      <c r="B513" t="s">
        <v>13</v>
      </c>
      <c r="C513" t="s">
        <v>332</v>
      </c>
      <c r="D513" t="s">
        <v>1040</v>
      </c>
      <c r="E513" t="s">
        <v>1448</v>
      </c>
      <c r="F513" t="s">
        <v>2091</v>
      </c>
      <c r="G513">
        <v>11212</v>
      </c>
      <c r="K513">
        <v>1</v>
      </c>
      <c r="L513">
        <v>0</v>
      </c>
      <c r="M513">
        <v>76.11</v>
      </c>
    </row>
    <row r="514" spans="1:13">
      <c r="A514" s="1">
        <f>HYPERLINK("https://lsnyc.legalserver.org/matter/dynamic-profile/view/1866945","18-1866945")</f>
        <v>0</v>
      </c>
      <c r="B514" t="s">
        <v>13</v>
      </c>
      <c r="C514" t="s">
        <v>332</v>
      </c>
      <c r="D514" t="s">
        <v>1040</v>
      </c>
      <c r="E514" t="s">
        <v>1448</v>
      </c>
      <c r="F514" t="s">
        <v>2091</v>
      </c>
      <c r="G514">
        <v>11212</v>
      </c>
      <c r="K514">
        <v>1</v>
      </c>
      <c r="L514">
        <v>0</v>
      </c>
      <c r="M514">
        <v>76.11</v>
      </c>
    </row>
    <row r="515" spans="1:13">
      <c r="A515" s="1">
        <f>HYPERLINK("https://lsnyc.legalserver.org/matter/dynamic-profile/view/1866415","18-1866415")</f>
        <v>0</v>
      </c>
      <c r="B515" t="s">
        <v>13</v>
      </c>
      <c r="C515" t="s">
        <v>333</v>
      </c>
      <c r="D515" t="s">
        <v>1041</v>
      </c>
      <c r="E515" t="s">
        <v>1742</v>
      </c>
      <c r="F515" t="s">
        <v>2089</v>
      </c>
      <c r="G515">
        <v>10458</v>
      </c>
      <c r="K515">
        <v>1</v>
      </c>
      <c r="L515">
        <v>0</v>
      </c>
      <c r="M515">
        <v>76.11</v>
      </c>
    </row>
    <row r="516" spans="1:13">
      <c r="A516" s="1">
        <f>HYPERLINK("https://lsnyc.legalserver.org/matter/dynamic-profile/view/0821992","16-0821992")</f>
        <v>0</v>
      </c>
      <c r="B516" t="s">
        <v>13</v>
      </c>
      <c r="C516" t="s">
        <v>334</v>
      </c>
      <c r="D516" t="s">
        <v>893</v>
      </c>
      <c r="E516" t="s">
        <v>1471</v>
      </c>
      <c r="F516" t="s">
        <v>2089</v>
      </c>
      <c r="G516">
        <v>10452</v>
      </c>
      <c r="K516">
        <v>1</v>
      </c>
      <c r="L516">
        <v>0</v>
      </c>
      <c r="M516">
        <v>76.36</v>
      </c>
    </row>
    <row r="517" spans="1:13">
      <c r="A517" s="1">
        <f>HYPERLINK("https://lsnyc.legalserver.org/matter/dynamic-profile/view/0821995","16-0821995")</f>
        <v>0</v>
      </c>
      <c r="B517" t="s">
        <v>13</v>
      </c>
      <c r="C517" t="s">
        <v>334</v>
      </c>
      <c r="D517" t="s">
        <v>893</v>
      </c>
      <c r="E517" t="s">
        <v>1471</v>
      </c>
      <c r="F517" t="s">
        <v>2089</v>
      </c>
      <c r="G517">
        <v>10452</v>
      </c>
      <c r="K517">
        <v>1</v>
      </c>
      <c r="L517">
        <v>0</v>
      </c>
      <c r="M517">
        <v>76.36</v>
      </c>
    </row>
    <row r="518" spans="1:13">
      <c r="A518" s="1">
        <f>HYPERLINK("https://lsnyc.legalserver.org/matter/dynamic-profile/view/0795235","15-0795235")</f>
        <v>0</v>
      </c>
      <c r="B518" t="s">
        <v>13</v>
      </c>
      <c r="C518" t="s">
        <v>52</v>
      </c>
      <c r="D518" t="s">
        <v>1042</v>
      </c>
      <c r="E518" t="s">
        <v>1462</v>
      </c>
      <c r="F518" t="s">
        <v>2092</v>
      </c>
      <c r="G518">
        <v>11354</v>
      </c>
      <c r="K518">
        <v>1</v>
      </c>
      <c r="L518">
        <v>0</v>
      </c>
      <c r="M518">
        <v>76.47</v>
      </c>
    </row>
    <row r="519" spans="1:13">
      <c r="A519" s="1">
        <f>HYPERLINK("https://lsnyc.legalserver.org/matter/dynamic-profile/view/1863618","18-1863618")</f>
        <v>0</v>
      </c>
      <c r="B519" t="s">
        <v>13</v>
      </c>
      <c r="C519" t="s">
        <v>335</v>
      </c>
      <c r="D519" t="s">
        <v>1043</v>
      </c>
      <c r="E519" t="s">
        <v>1743</v>
      </c>
      <c r="F519" t="s">
        <v>2091</v>
      </c>
      <c r="G519">
        <v>11233</v>
      </c>
      <c r="K519">
        <v>2</v>
      </c>
      <c r="L519">
        <v>0</v>
      </c>
      <c r="M519">
        <v>76.55</v>
      </c>
    </row>
    <row r="520" spans="1:13">
      <c r="A520" s="1">
        <f>HYPERLINK("https://lsnyc.legalserver.org/matter/dynamic-profile/view/1855990","18-1855990")</f>
        <v>0</v>
      </c>
      <c r="B520" t="s">
        <v>13</v>
      </c>
      <c r="C520" t="s">
        <v>31</v>
      </c>
      <c r="D520" t="s">
        <v>1039</v>
      </c>
      <c r="E520" t="s">
        <v>1619</v>
      </c>
      <c r="F520" t="s">
        <v>2091</v>
      </c>
      <c r="G520">
        <v>11206</v>
      </c>
      <c r="K520">
        <v>1</v>
      </c>
      <c r="L520">
        <v>0</v>
      </c>
      <c r="M520">
        <v>76.62</v>
      </c>
    </row>
    <row r="521" spans="1:13">
      <c r="A521" s="1">
        <f>HYPERLINK("https://lsnyc.legalserver.org/matter/dynamic-profile/view/1857194","18-1857194")</f>
        <v>0</v>
      </c>
      <c r="B521" t="s">
        <v>13</v>
      </c>
      <c r="C521" t="s">
        <v>31</v>
      </c>
      <c r="D521" t="s">
        <v>1039</v>
      </c>
      <c r="E521" t="s">
        <v>1619</v>
      </c>
      <c r="F521" t="s">
        <v>2091</v>
      </c>
      <c r="G521">
        <v>11206</v>
      </c>
      <c r="K521">
        <v>1</v>
      </c>
      <c r="L521">
        <v>0</v>
      </c>
      <c r="M521">
        <v>76.62</v>
      </c>
    </row>
    <row r="522" spans="1:13">
      <c r="A522" s="1">
        <f>HYPERLINK("https://lsnyc.legalserver.org/matter/dynamic-profile/view/1835868","17-1835868")</f>
        <v>0</v>
      </c>
      <c r="B522" t="s">
        <v>13</v>
      </c>
      <c r="C522" t="s">
        <v>332</v>
      </c>
      <c r="D522" t="s">
        <v>1040</v>
      </c>
      <c r="E522" t="s">
        <v>1448</v>
      </c>
      <c r="F522" t="s">
        <v>2091</v>
      </c>
      <c r="G522">
        <v>11212</v>
      </c>
      <c r="K522">
        <v>1</v>
      </c>
      <c r="L522">
        <v>0</v>
      </c>
      <c r="M522">
        <v>76.62</v>
      </c>
    </row>
    <row r="523" spans="1:13">
      <c r="A523" s="1">
        <f>HYPERLINK("https://lsnyc.legalserver.org/matter/dynamic-profile/view/1903693","19-1903693")</f>
        <v>0</v>
      </c>
      <c r="B523" t="s">
        <v>13</v>
      </c>
      <c r="C523" t="s">
        <v>35</v>
      </c>
      <c r="D523" t="s">
        <v>761</v>
      </c>
      <c r="E523" t="s">
        <v>1744</v>
      </c>
      <c r="F523" t="s">
        <v>2091</v>
      </c>
      <c r="G523">
        <v>11212</v>
      </c>
      <c r="K523">
        <v>1</v>
      </c>
      <c r="L523">
        <v>0</v>
      </c>
      <c r="M523">
        <v>76.86</v>
      </c>
    </row>
    <row r="524" spans="1:13">
      <c r="A524" s="1">
        <f>HYPERLINK("https://lsnyc.legalserver.org/matter/dynamic-profile/view/1861081","18-1861081")</f>
        <v>0</v>
      </c>
      <c r="B524" t="s">
        <v>13</v>
      </c>
      <c r="C524" t="s">
        <v>314</v>
      </c>
      <c r="D524" t="s">
        <v>1044</v>
      </c>
      <c r="E524" t="s">
        <v>1745</v>
      </c>
      <c r="F524" t="s">
        <v>2106</v>
      </c>
      <c r="G524">
        <v>11369</v>
      </c>
      <c r="K524">
        <v>1</v>
      </c>
      <c r="L524">
        <v>0</v>
      </c>
      <c r="M524">
        <v>77.06</v>
      </c>
    </row>
    <row r="525" spans="1:13">
      <c r="A525" s="1">
        <f>HYPERLINK("https://lsnyc.legalserver.org/matter/dynamic-profile/view/1840501","17-1840501")</f>
        <v>0</v>
      </c>
      <c r="B525" t="s">
        <v>13</v>
      </c>
      <c r="C525" t="s">
        <v>131</v>
      </c>
      <c r="D525" t="s">
        <v>841</v>
      </c>
      <c r="E525" t="s">
        <v>1460</v>
      </c>
      <c r="F525" t="s">
        <v>2089</v>
      </c>
      <c r="G525">
        <v>10453</v>
      </c>
      <c r="K525">
        <v>1</v>
      </c>
      <c r="L525">
        <v>0</v>
      </c>
      <c r="M525">
        <v>77.20999999999999</v>
      </c>
    </row>
    <row r="526" spans="1:13">
      <c r="A526" s="1">
        <f>HYPERLINK("https://lsnyc.legalserver.org/matter/dynamic-profile/view/1833120","17-1833120")</f>
        <v>0</v>
      </c>
      <c r="B526" t="s">
        <v>13</v>
      </c>
      <c r="C526" t="s">
        <v>336</v>
      </c>
      <c r="D526" t="s">
        <v>715</v>
      </c>
      <c r="E526" t="s">
        <v>1746</v>
      </c>
      <c r="F526" t="s">
        <v>2090</v>
      </c>
      <c r="G526">
        <v>10301</v>
      </c>
      <c r="K526">
        <v>2</v>
      </c>
      <c r="L526">
        <v>0</v>
      </c>
      <c r="M526">
        <v>77.36</v>
      </c>
    </row>
    <row r="527" spans="1:13">
      <c r="A527" s="1">
        <f>HYPERLINK("https://lsnyc.legalserver.org/matter/dynamic-profile/view/1859013","18-1859013")</f>
        <v>0</v>
      </c>
      <c r="B527" t="s">
        <v>13</v>
      </c>
      <c r="C527" t="s">
        <v>335</v>
      </c>
      <c r="D527" t="s">
        <v>1043</v>
      </c>
      <c r="E527" t="s">
        <v>1743</v>
      </c>
      <c r="F527" t="s">
        <v>2091</v>
      </c>
      <c r="G527">
        <v>11233</v>
      </c>
      <c r="K527">
        <v>2</v>
      </c>
      <c r="L527">
        <v>0</v>
      </c>
      <c r="M527">
        <v>77.59</v>
      </c>
    </row>
    <row r="528" spans="1:13">
      <c r="A528" s="1">
        <f>HYPERLINK("https://lsnyc.legalserver.org/matter/dynamic-profile/view/1836414","17-1836414")</f>
        <v>0</v>
      </c>
      <c r="B528" t="s">
        <v>13</v>
      </c>
      <c r="C528" t="s">
        <v>337</v>
      </c>
      <c r="D528" t="s">
        <v>1045</v>
      </c>
      <c r="E528" t="s">
        <v>1460</v>
      </c>
      <c r="F528" t="s">
        <v>2089</v>
      </c>
      <c r="G528">
        <v>10453</v>
      </c>
      <c r="K528">
        <v>1</v>
      </c>
      <c r="L528">
        <v>0</v>
      </c>
      <c r="M528">
        <v>77.61</v>
      </c>
    </row>
    <row r="529" spans="1:13">
      <c r="A529" s="1">
        <f>HYPERLINK("https://lsnyc.legalserver.org/matter/dynamic-profile/view/0827070","17-0827070")</f>
        <v>0</v>
      </c>
      <c r="B529" t="s">
        <v>13</v>
      </c>
      <c r="C529" t="s">
        <v>337</v>
      </c>
      <c r="D529" t="s">
        <v>1045</v>
      </c>
      <c r="E529" t="s">
        <v>1460</v>
      </c>
      <c r="F529" t="s">
        <v>2089</v>
      </c>
      <c r="G529">
        <v>10453</v>
      </c>
      <c r="K529">
        <v>1</v>
      </c>
      <c r="L529">
        <v>0</v>
      </c>
      <c r="M529">
        <v>77.61</v>
      </c>
    </row>
    <row r="530" spans="1:13">
      <c r="A530" s="1">
        <f>HYPERLINK("https://lsnyc.legalserver.org/matter/dynamic-profile/view/1836513","17-1836513")</f>
        <v>0</v>
      </c>
      <c r="B530" t="s">
        <v>13</v>
      </c>
      <c r="C530" t="s">
        <v>136</v>
      </c>
      <c r="D530" t="s">
        <v>843</v>
      </c>
      <c r="E530" t="s">
        <v>1747</v>
      </c>
      <c r="F530" t="s">
        <v>2093</v>
      </c>
      <c r="G530">
        <v>10010</v>
      </c>
      <c r="K530">
        <v>1</v>
      </c>
      <c r="L530">
        <v>0</v>
      </c>
      <c r="M530">
        <v>77.70999999999999</v>
      </c>
    </row>
    <row r="531" spans="1:13">
      <c r="A531" s="1">
        <f>HYPERLINK("https://lsnyc.legalserver.org/matter/dynamic-profile/view/1857315","18-1857315")</f>
        <v>0</v>
      </c>
      <c r="B531" t="s">
        <v>13</v>
      </c>
      <c r="C531" t="s">
        <v>40</v>
      </c>
      <c r="D531" t="s">
        <v>1046</v>
      </c>
      <c r="E531" t="s">
        <v>1748</v>
      </c>
      <c r="F531" t="s">
        <v>2089</v>
      </c>
      <c r="G531">
        <v>10454</v>
      </c>
      <c r="K531">
        <v>1</v>
      </c>
      <c r="L531">
        <v>0</v>
      </c>
      <c r="M531">
        <v>77.91</v>
      </c>
    </row>
    <row r="532" spans="1:13">
      <c r="A532" s="1">
        <f>HYPERLINK("https://lsnyc.legalserver.org/matter/dynamic-profile/view/0819945","16-0819945")</f>
        <v>0</v>
      </c>
      <c r="B532" t="s">
        <v>13</v>
      </c>
      <c r="C532" t="s">
        <v>131</v>
      </c>
      <c r="D532" t="s">
        <v>841</v>
      </c>
      <c r="E532" t="s">
        <v>1460</v>
      </c>
      <c r="F532" t="s">
        <v>2089</v>
      </c>
      <c r="G532">
        <v>10453</v>
      </c>
      <c r="K532">
        <v>1</v>
      </c>
      <c r="L532">
        <v>0</v>
      </c>
      <c r="M532">
        <v>78.38</v>
      </c>
    </row>
    <row r="533" spans="1:13">
      <c r="A533" s="1">
        <f>HYPERLINK("https://lsnyc.legalserver.org/matter/dynamic-profile/view/0819943","16-0819943")</f>
        <v>0</v>
      </c>
      <c r="B533" t="s">
        <v>13</v>
      </c>
      <c r="C533" t="s">
        <v>131</v>
      </c>
      <c r="D533" t="s">
        <v>841</v>
      </c>
      <c r="E533" t="s">
        <v>1460</v>
      </c>
      <c r="F533" t="s">
        <v>2089</v>
      </c>
      <c r="G533">
        <v>10453</v>
      </c>
      <c r="K533">
        <v>1</v>
      </c>
      <c r="L533">
        <v>0</v>
      </c>
      <c r="M533">
        <v>78.38</v>
      </c>
    </row>
    <row r="534" spans="1:13">
      <c r="A534" s="1">
        <f>HYPERLINK("https://lsnyc.legalserver.org/matter/dynamic-profile/view/0794799","15-0794799")</f>
        <v>0</v>
      </c>
      <c r="B534" t="s">
        <v>13</v>
      </c>
      <c r="C534" t="s">
        <v>338</v>
      </c>
      <c r="D534" t="s">
        <v>1047</v>
      </c>
      <c r="E534" t="s">
        <v>1570</v>
      </c>
      <c r="F534" t="s">
        <v>2091</v>
      </c>
      <c r="G534">
        <v>11233</v>
      </c>
      <c r="K534">
        <v>2</v>
      </c>
      <c r="L534">
        <v>0</v>
      </c>
      <c r="M534">
        <v>78.40000000000001</v>
      </c>
    </row>
    <row r="535" spans="1:13">
      <c r="A535" s="1">
        <f>HYPERLINK("https://lsnyc.legalserver.org/matter/dynamic-profile/view/1858149","18-1858149")</f>
        <v>0</v>
      </c>
      <c r="B535" t="s">
        <v>13</v>
      </c>
      <c r="C535" t="s">
        <v>339</v>
      </c>
      <c r="D535" t="s">
        <v>960</v>
      </c>
      <c r="E535" t="s">
        <v>1749</v>
      </c>
      <c r="F535" t="s">
        <v>2089</v>
      </c>
      <c r="G535">
        <v>10452</v>
      </c>
      <c r="K535">
        <v>1</v>
      </c>
      <c r="L535">
        <v>0</v>
      </c>
      <c r="M535">
        <v>78.61</v>
      </c>
    </row>
    <row r="536" spans="1:13">
      <c r="A536" s="1">
        <f>HYPERLINK("https://lsnyc.legalserver.org/matter/dynamic-profile/view/1833810","17-1833810")</f>
        <v>0</v>
      </c>
      <c r="B536" t="s">
        <v>13</v>
      </c>
      <c r="C536" t="s">
        <v>262</v>
      </c>
      <c r="D536" t="s">
        <v>1048</v>
      </c>
      <c r="E536" t="s">
        <v>1750</v>
      </c>
      <c r="F536" t="s">
        <v>2093</v>
      </c>
      <c r="G536">
        <v>10035</v>
      </c>
      <c r="K536">
        <v>1</v>
      </c>
      <c r="L536">
        <v>0</v>
      </c>
      <c r="M536">
        <v>78.61</v>
      </c>
    </row>
    <row r="537" spans="1:13">
      <c r="A537" s="1">
        <f>HYPERLINK("https://lsnyc.legalserver.org/matter/dynamic-profile/view/0830482","17-0830482")</f>
        <v>0</v>
      </c>
      <c r="B537" t="s">
        <v>13</v>
      </c>
      <c r="C537" t="s">
        <v>340</v>
      </c>
      <c r="D537" t="s">
        <v>1049</v>
      </c>
      <c r="E537" t="s">
        <v>1751</v>
      </c>
      <c r="F537" t="s">
        <v>2091</v>
      </c>
      <c r="G537">
        <v>11213</v>
      </c>
      <c r="K537">
        <v>2</v>
      </c>
      <c r="L537">
        <v>0</v>
      </c>
      <c r="M537">
        <v>78.98999999999999</v>
      </c>
    </row>
    <row r="538" spans="1:13">
      <c r="A538" s="1">
        <f>HYPERLINK("https://lsnyc.legalserver.org/matter/dynamic-profile/view/1854196","17-1854196")</f>
        <v>0</v>
      </c>
      <c r="B538" t="s">
        <v>13</v>
      </c>
      <c r="C538" t="s">
        <v>341</v>
      </c>
      <c r="D538" t="s">
        <v>1050</v>
      </c>
      <c r="E538" t="s">
        <v>1697</v>
      </c>
      <c r="F538" t="s">
        <v>2089</v>
      </c>
      <c r="G538">
        <v>10456</v>
      </c>
      <c r="K538">
        <v>2</v>
      </c>
      <c r="L538">
        <v>0</v>
      </c>
      <c r="M538">
        <v>78.98999999999999</v>
      </c>
    </row>
    <row r="539" spans="1:13">
      <c r="A539" s="1">
        <f>HYPERLINK("https://lsnyc.legalserver.org/matter/dynamic-profile/view/1845335","17-1845335")</f>
        <v>0</v>
      </c>
      <c r="B539" t="s">
        <v>13</v>
      </c>
      <c r="C539" t="s">
        <v>340</v>
      </c>
      <c r="D539" t="s">
        <v>1049</v>
      </c>
      <c r="E539" t="s">
        <v>1751</v>
      </c>
      <c r="F539" t="s">
        <v>2091</v>
      </c>
      <c r="G539">
        <v>11213</v>
      </c>
      <c r="K539">
        <v>2</v>
      </c>
      <c r="L539">
        <v>0</v>
      </c>
      <c r="M539">
        <v>78.98999999999999</v>
      </c>
    </row>
    <row r="540" spans="1:13">
      <c r="A540" s="1">
        <f>HYPERLINK("https://lsnyc.legalserver.org/matter/dynamic-profile/view/1851774","17-1851774")</f>
        <v>0</v>
      </c>
      <c r="B540" t="s">
        <v>13</v>
      </c>
      <c r="C540" t="s">
        <v>342</v>
      </c>
      <c r="D540" t="s">
        <v>761</v>
      </c>
      <c r="E540" t="s">
        <v>1676</v>
      </c>
      <c r="F540" t="s">
        <v>2091</v>
      </c>
      <c r="G540">
        <v>11208</v>
      </c>
      <c r="K540">
        <v>1</v>
      </c>
      <c r="L540">
        <v>0</v>
      </c>
      <c r="M540">
        <v>79</v>
      </c>
    </row>
    <row r="541" spans="1:13">
      <c r="A541" s="1">
        <f>HYPERLINK("https://lsnyc.legalserver.org/matter/dynamic-profile/view/1867150","18-1867150")</f>
        <v>0</v>
      </c>
      <c r="B541" t="s">
        <v>13</v>
      </c>
      <c r="C541" t="s">
        <v>221</v>
      </c>
      <c r="D541" t="s">
        <v>793</v>
      </c>
      <c r="E541" t="s">
        <v>1752</v>
      </c>
      <c r="F541" t="s">
        <v>2093</v>
      </c>
      <c r="G541">
        <v>10040</v>
      </c>
      <c r="K541">
        <v>1</v>
      </c>
      <c r="L541">
        <v>0</v>
      </c>
      <c r="M541">
        <v>79.08</v>
      </c>
    </row>
    <row r="542" spans="1:13">
      <c r="A542" s="1">
        <f>HYPERLINK("https://lsnyc.legalserver.org/matter/dynamic-profile/view/1863799","18-1863799")</f>
        <v>0</v>
      </c>
      <c r="B542" t="s">
        <v>13</v>
      </c>
      <c r="C542" t="s">
        <v>265</v>
      </c>
      <c r="D542" t="s">
        <v>1051</v>
      </c>
      <c r="E542" t="s">
        <v>1623</v>
      </c>
      <c r="F542" t="s">
        <v>2093</v>
      </c>
      <c r="G542">
        <v>10033</v>
      </c>
      <c r="K542">
        <v>1</v>
      </c>
      <c r="L542">
        <v>0</v>
      </c>
      <c r="M542">
        <v>79.08</v>
      </c>
    </row>
    <row r="543" spans="1:13">
      <c r="A543" s="1">
        <f>HYPERLINK("https://lsnyc.legalserver.org/matter/dynamic-profile/view/1862986","18-1862986")</f>
        <v>0</v>
      </c>
      <c r="B543" t="s">
        <v>13</v>
      </c>
      <c r="C543" t="s">
        <v>343</v>
      </c>
      <c r="D543" t="s">
        <v>1052</v>
      </c>
      <c r="E543" t="s">
        <v>1753</v>
      </c>
      <c r="F543" t="s">
        <v>2089</v>
      </c>
      <c r="G543">
        <v>10453</v>
      </c>
      <c r="K543">
        <v>1</v>
      </c>
      <c r="L543">
        <v>0</v>
      </c>
      <c r="M543">
        <v>79.08</v>
      </c>
    </row>
    <row r="544" spans="1:13">
      <c r="A544" s="1">
        <f>HYPERLINK("https://lsnyc.legalserver.org/matter/dynamic-profile/view/1868343","18-1868343")</f>
        <v>0</v>
      </c>
      <c r="B544" t="s">
        <v>13</v>
      </c>
      <c r="C544" t="s">
        <v>344</v>
      </c>
      <c r="D544" t="s">
        <v>1053</v>
      </c>
      <c r="E544" t="s">
        <v>1754</v>
      </c>
      <c r="F544" t="s">
        <v>2089</v>
      </c>
      <c r="G544">
        <v>10453</v>
      </c>
      <c r="K544">
        <v>1</v>
      </c>
      <c r="L544">
        <v>0</v>
      </c>
      <c r="M544">
        <v>79.08</v>
      </c>
    </row>
    <row r="545" spans="1:13">
      <c r="A545" s="1">
        <f>HYPERLINK("https://lsnyc.legalserver.org/matter/dynamic-profile/view/1867638","18-1867638")</f>
        <v>0</v>
      </c>
      <c r="B545" t="s">
        <v>13</v>
      </c>
      <c r="C545" t="s">
        <v>345</v>
      </c>
      <c r="D545" t="s">
        <v>1054</v>
      </c>
      <c r="E545" t="s">
        <v>1641</v>
      </c>
      <c r="F545" t="s">
        <v>2090</v>
      </c>
      <c r="G545">
        <v>10304</v>
      </c>
      <c r="K545">
        <v>1</v>
      </c>
      <c r="L545">
        <v>0</v>
      </c>
      <c r="M545">
        <v>79.08</v>
      </c>
    </row>
    <row r="546" spans="1:13">
      <c r="A546" s="1">
        <f>HYPERLINK("https://lsnyc.legalserver.org/matter/dynamic-profile/view/1861620","18-1861620")</f>
        <v>0</v>
      </c>
      <c r="B546" t="s">
        <v>13</v>
      </c>
      <c r="C546" t="s">
        <v>182</v>
      </c>
      <c r="D546" t="s">
        <v>1055</v>
      </c>
      <c r="E546" t="s">
        <v>1755</v>
      </c>
      <c r="F546" t="s">
        <v>2095</v>
      </c>
      <c r="G546">
        <v>11691</v>
      </c>
      <c r="K546">
        <v>1</v>
      </c>
      <c r="L546">
        <v>0</v>
      </c>
      <c r="M546">
        <v>79.08</v>
      </c>
    </row>
    <row r="547" spans="1:13">
      <c r="A547" s="1">
        <f>HYPERLINK("https://lsnyc.legalserver.org/matter/dynamic-profile/view/0807023","16-0807023")</f>
        <v>0</v>
      </c>
      <c r="B547" t="s">
        <v>13</v>
      </c>
      <c r="C547" t="s">
        <v>346</v>
      </c>
      <c r="D547" t="s">
        <v>1056</v>
      </c>
      <c r="E547" t="s">
        <v>1756</v>
      </c>
      <c r="F547" t="s">
        <v>2091</v>
      </c>
      <c r="G547">
        <v>11203</v>
      </c>
      <c r="K547">
        <v>1</v>
      </c>
      <c r="L547">
        <v>0</v>
      </c>
      <c r="M547">
        <v>79.09</v>
      </c>
    </row>
    <row r="548" spans="1:13">
      <c r="A548" s="1">
        <f>HYPERLINK("https://lsnyc.legalserver.org/matter/dynamic-profile/view/1846656","17-1846656")</f>
        <v>0</v>
      </c>
      <c r="B548" t="s">
        <v>13</v>
      </c>
      <c r="C548" t="s">
        <v>347</v>
      </c>
      <c r="D548" t="s">
        <v>370</v>
      </c>
      <c r="E548" t="s">
        <v>1757</v>
      </c>
      <c r="F548" t="s">
        <v>2092</v>
      </c>
      <c r="G548">
        <v>11354</v>
      </c>
      <c r="K548">
        <v>1</v>
      </c>
      <c r="L548">
        <v>0</v>
      </c>
      <c r="M548">
        <v>79.09999999999999</v>
      </c>
    </row>
    <row r="549" spans="1:13">
      <c r="A549" s="1">
        <f>HYPERLINK("https://lsnyc.legalserver.org/matter/dynamic-profile/view/1838021","17-1838021")</f>
        <v>0</v>
      </c>
      <c r="B549" t="s">
        <v>13</v>
      </c>
      <c r="C549" t="s">
        <v>347</v>
      </c>
      <c r="D549" t="s">
        <v>370</v>
      </c>
      <c r="E549" t="s">
        <v>1757</v>
      </c>
      <c r="F549" t="s">
        <v>2092</v>
      </c>
      <c r="G549">
        <v>11354</v>
      </c>
      <c r="K549">
        <v>1</v>
      </c>
      <c r="L549">
        <v>0</v>
      </c>
      <c r="M549">
        <v>79.09999999999999</v>
      </c>
    </row>
    <row r="550" spans="1:13">
      <c r="A550" s="1">
        <f>HYPERLINK("https://lsnyc.legalserver.org/matter/dynamic-profile/view/1850261","17-1850261")</f>
        <v>0</v>
      </c>
      <c r="B550" t="s">
        <v>13</v>
      </c>
      <c r="C550" t="s">
        <v>348</v>
      </c>
      <c r="D550" t="s">
        <v>1057</v>
      </c>
      <c r="E550" t="s">
        <v>1758</v>
      </c>
      <c r="F550" t="s">
        <v>2090</v>
      </c>
      <c r="G550">
        <v>10304</v>
      </c>
      <c r="K550">
        <v>1</v>
      </c>
      <c r="L550">
        <v>0</v>
      </c>
      <c r="M550">
        <v>79.2</v>
      </c>
    </row>
    <row r="551" spans="1:13">
      <c r="A551" s="1">
        <f>HYPERLINK("https://lsnyc.legalserver.org/matter/dynamic-profile/view/0832451","17-0832451")</f>
        <v>0</v>
      </c>
      <c r="B551" t="s">
        <v>13</v>
      </c>
      <c r="C551" t="s">
        <v>349</v>
      </c>
      <c r="D551" t="s">
        <v>1058</v>
      </c>
      <c r="E551" t="s">
        <v>1759</v>
      </c>
      <c r="F551" t="s">
        <v>2091</v>
      </c>
      <c r="G551">
        <v>11233</v>
      </c>
      <c r="K551">
        <v>1</v>
      </c>
      <c r="L551">
        <v>0</v>
      </c>
      <c r="M551">
        <v>79.3</v>
      </c>
    </row>
    <row r="552" spans="1:13">
      <c r="A552" s="1">
        <f>HYPERLINK("https://lsnyc.legalserver.org/matter/dynamic-profile/view/1838569","17-1838569")</f>
        <v>0</v>
      </c>
      <c r="B552" t="s">
        <v>13</v>
      </c>
      <c r="C552" t="s">
        <v>350</v>
      </c>
      <c r="D552" t="s">
        <v>1059</v>
      </c>
      <c r="E552" t="s">
        <v>1760</v>
      </c>
      <c r="F552" t="s">
        <v>2091</v>
      </c>
      <c r="G552">
        <v>11220</v>
      </c>
      <c r="K552">
        <v>1</v>
      </c>
      <c r="L552">
        <v>0</v>
      </c>
      <c r="M552">
        <v>79.3</v>
      </c>
    </row>
    <row r="553" spans="1:13">
      <c r="A553" s="1">
        <f>HYPERLINK("https://lsnyc.legalserver.org/matter/dynamic-profile/view/1848530","17-1848530")</f>
        <v>0</v>
      </c>
      <c r="B553" t="s">
        <v>13</v>
      </c>
      <c r="C553" t="s">
        <v>351</v>
      </c>
      <c r="D553" t="s">
        <v>938</v>
      </c>
      <c r="E553" t="s">
        <v>1519</v>
      </c>
      <c r="F553" t="s">
        <v>2089</v>
      </c>
      <c r="G553">
        <v>10457</v>
      </c>
      <c r="K553">
        <v>4</v>
      </c>
      <c r="L553">
        <v>0</v>
      </c>
      <c r="M553">
        <v>79.48</v>
      </c>
    </row>
    <row r="554" spans="1:13">
      <c r="A554" s="1">
        <f>HYPERLINK("https://lsnyc.legalserver.org/matter/dynamic-profile/view/0832586","17-0832586")</f>
        <v>0</v>
      </c>
      <c r="B554" t="s">
        <v>13</v>
      </c>
      <c r="C554" t="s">
        <v>352</v>
      </c>
      <c r="D554" t="s">
        <v>1060</v>
      </c>
      <c r="E554" t="s">
        <v>1761</v>
      </c>
      <c r="F554" t="s">
        <v>2093</v>
      </c>
      <c r="G554">
        <v>10002</v>
      </c>
      <c r="K554">
        <v>1</v>
      </c>
      <c r="L554">
        <v>0</v>
      </c>
      <c r="M554">
        <v>79.59999999999999</v>
      </c>
    </row>
    <row r="555" spans="1:13">
      <c r="A555" s="1">
        <f>HYPERLINK("https://lsnyc.legalserver.org/matter/dynamic-profile/view/1855075","18-1855075")</f>
        <v>0</v>
      </c>
      <c r="B555" t="s">
        <v>13</v>
      </c>
      <c r="C555" t="s">
        <v>353</v>
      </c>
      <c r="D555" t="s">
        <v>1061</v>
      </c>
      <c r="E555" t="s">
        <v>1762</v>
      </c>
      <c r="F555" t="s">
        <v>2091</v>
      </c>
      <c r="G555">
        <v>11213</v>
      </c>
      <c r="K555">
        <v>1</v>
      </c>
      <c r="L555">
        <v>0</v>
      </c>
      <c r="M555">
        <v>79.59999999999999</v>
      </c>
    </row>
    <row r="556" spans="1:13">
      <c r="A556" s="1">
        <f>HYPERLINK("https://lsnyc.legalserver.org/matter/dynamic-profile/view/1836866","17-1836866")</f>
        <v>0</v>
      </c>
      <c r="B556" t="s">
        <v>13</v>
      </c>
      <c r="C556" t="s">
        <v>354</v>
      </c>
      <c r="D556" t="s">
        <v>724</v>
      </c>
      <c r="E556" t="s">
        <v>1763</v>
      </c>
      <c r="F556" t="s">
        <v>2093</v>
      </c>
      <c r="G556">
        <v>10034</v>
      </c>
      <c r="K556">
        <v>1</v>
      </c>
      <c r="L556">
        <v>0</v>
      </c>
      <c r="M556">
        <v>79.59999999999999</v>
      </c>
    </row>
    <row r="557" spans="1:13">
      <c r="A557" s="1">
        <f>HYPERLINK("https://lsnyc.legalserver.org/matter/dynamic-profile/view/1856523","18-1856523")</f>
        <v>0</v>
      </c>
      <c r="B557" t="s">
        <v>13</v>
      </c>
      <c r="C557" t="s">
        <v>355</v>
      </c>
      <c r="D557" t="s">
        <v>1062</v>
      </c>
      <c r="E557" t="s">
        <v>1764</v>
      </c>
      <c r="F557" t="s">
        <v>2093</v>
      </c>
      <c r="G557">
        <v>10029</v>
      </c>
      <c r="K557">
        <v>1</v>
      </c>
      <c r="L557">
        <v>0</v>
      </c>
      <c r="M557">
        <v>79.59999999999999</v>
      </c>
    </row>
    <row r="558" spans="1:13">
      <c r="A558" s="1">
        <f>HYPERLINK("https://lsnyc.legalserver.org/matter/dynamic-profile/view/1845391","17-1845391")</f>
        <v>0</v>
      </c>
      <c r="B558" t="s">
        <v>13</v>
      </c>
      <c r="C558" t="s">
        <v>35</v>
      </c>
      <c r="D558" t="s">
        <v>761</v>
      </c>
      <c r="E558" t="s">
        <v>1744</v>
      </c>
      <c r="F558" t="s">
        <v>2091</v>
      </c>
      <c r="G558">
        <v>11212</v>
      </c>
      <c r="K558">
        <v>1</v>
      </c>
      <c r="L558">
        <v>0</v>
      </c>
      <c r="M558">
        <v>79.59999999999999</v>
      </c>
    </row>
    <row r="559" spans="1:13">
      <c r="A559" s="1">
        <f>HYPERLINK("https://lsnyc.legalserver.org/matter/dynamic-profile/view/1855093","18-1855093")</f>
        <v>0</v>
      </c>
      <c r="B559" t="s">
        <v>13</v>
      </c>
      <c r="C559" t="s">
        <v>353</v>
      </c>
      <c r="D559" t="s">
        <v>1061</v>
      </c>
      <c r="E559" t="s">
        <v>1762</v>
      </c>
      <c r="F559" t="s">
        <v>2091</v>
      </c>
      <c r="G559">
        <v>11213</v>
      </c>
      <c r="K559">
        <v>1</v>
      </c>
      <c r="L559">
        <v>0</v>
      </c>
      <c r="M559">
        <v>79.59999999999999</v>
      </c>
    </row>
    <row r="560" spans="1:13">
      <c r="A560" s="1">
        <f>HYPERLINK("https://lsnyc.legalserver.org/matter/dynamic-profile/view/1856403","18-1856403")</f>
        <v>0</v>
      </c>
      <c r="B560" t="s">
        <v>13</v>
      </c>
      <c r="C560" t="s">
        <v>356</v>
      </c>
      <c r="D560" t="s">
        <v>1063</v>
      </c>
      <c r="E560" t="s">
        <v>1684</v>
      </c>
      <c r="F560" t="s">
        <v>2089</v>
      </c>
      <c r="G560">
        <v>10453</v>
      </c>
      <c r="K560">
        <v>1</v>
      </c>
      <c r="L560">
        <v>0</v>
      </c>
      <c r="M560">
        <v>79.59999999999999</v>
      </c>
    </row>
    <row r="561" spans="1:13">
      <c r="A561" s="1">
        <f>HYPERLINK("https://lsnyc.legalserver.org/matter/dynamic-profile/view/1855305","18-1855305")</f>
        <v>0</v>
      </c>
      <c r="B561" t="s">
        <v>13</v>
      </c>
      <c r="C561" t="s">
        <v>357</v>
      </c>
      <c r="D561" t="s">
        <v>1064</v>
      </c>
      <c r="E561" t="s">
        <v>1765</v>
      </c>
      <c r="F561" t="s">
        <v>2090</v>
      </c>
      <c r="G561">
        <v>10301</v>
      </c>
      <c r="K561">
        <v>1</v>
      </c>
      <c r="L561">
        <v>0</v>
      </c>
      <c r="M561">
        <v>79.59999999999999</v>
      </c>
    </row>
    <row r="562" spans="1:13">
      <c r="A562" s="1">
        <f>HYPERLINK("https://lsnyc.legalserver.org/matter/dynamic-profile/view/1840682","17-1840682")</f>
        <v>0</v>
      </c>
      <c r="B562" t="s">
        <v>13</v>
      </c>
      <c r="C562" t="s">
        <v>358</v>
      </c>
      <c r="D562" t="s">
        <v>829</v>
      </c>
      <c r="E562" t="s">
        <v>1460</v>
      </c>
      <c r="F562" t="s">
        <v>2089</v>
      </c>
      <c r="G562">
        <v>10453</v>
      </c>
      <c r="K562">
        <v>1</v>
      </c>
      <c r="L562">
        <v>0</v>
      </c>
      <c r="M562">
        <v>79.59999999999999</v>
      </c>
    </row>
    <row r="563" spans="1:13">
      <c r="A563" s="1">
        <f>HYPERLINK("https://lsnyc.legalserver.org/matter/dynamic-profile/view/1834572","17-1834572")</f>
        <v>0</v>
      </c>
      <c r="B563" t="s">
        <v>13</v>
      </c>
      <c r="C563" t="s">
        <v>265</v>
      </c>
      <c r="D563" t="s">
        <v>1051</v>
      </c>
      <c r="E563" t="s">
        <v>1623</v>
      </c>
      <c r="F563" t="s">
        <v>2093</v>
      </c>
      <c r="G563">
        <v>10033</v>
      </c>
      <c r="K563">
        <v>1</v>
      </c>
      <c r="L563">
        <v>0</v>
      </c>
      <c r="M563">
        <v>79.59999999999999</v>
      </c>
    </row>
    <row r="564" spans="1:13">
      <c r="A564" s="1">
        <f>HYPERLINK("https://lsnyc.legalserver.org/matter/dynamic-profile/view/1850274","17-1850274")</f>
        <v>0</v>
      </c>
      <c r="B564" t="s">
        <v>13</v>
      </c>
      <c r="C564" t="s">
        <v>267</v>
      </c>
      <c r="D564" t="s">
        <v>1065</v>
      </c>
      <c r="E564" t="s">
        <v>1766</v>
      </c>
      <c r="F564" t="s">
        <v>2093</v>
      </c>
      <c r="G564">
        <v>10034</v>
      </c>
      <c r="K564">
        <v>1</v>
      </c>
      <c r="L564">
        <v>0</v>
      </c>
      <c r="M564">
        <v>79.59999999999999</v>
      </c>
    </row>
    <row r="565" spans="1:13">
      <c r="A565" s="1">
        <f>HYPERLINK("https://lsnyc.legalserver.org/matter/dynamic-profile/view/0831848","17-0831848")</f>
        <v>0</v>
      </c>
      <c r="B565" t="s">
        <v>13</v>
      </c>
      <c r="C565" t="s">
        <v>359</v>
      </c>
      <c r="D565" t="s">
        <v>1066</v>
      </c>
      <c r="E565" t="s">
        <v>1767</v>
      </c>
      <c r="F565" t="s">
        <v>2089</v>
      </c>
      <c r="G565">
        <v>10473</v>
      </c>
      <c r="K565">
        <v>1</v>
      </c>
      <c r="L565">
        <v>0</v>
      </c>
      <c r="M565">
        <v>79.59999999999999</v>
      </c>
    </row>
    <row r="566" spans="1:13">
      <c r="A566" s="1">
        <f>HYPERLINK("https://lsnyc.legalserver.org/matter/dynamic-profile/view/1845272","17-1845272")</f>
        <v>0</v>
      </c>
      <c r="B566" t="s">
        <v>13</v>
      </c>
      <c r="C566" t="s">
        <v>360</v>
      </c>
      <c r="D566" t="s">
        <v>1067</v>
      </c>
      <c r="E566" t="s">
        <v>1480</v>
      </c>
      <c r="F566" t="s">
        <v>2091</v>
      </c>
      <c r="G566">
        <v>11208</v>
      </c>
      <c r="K566">
        <v>1</v>
      </c>
      <c r="L566">
        <v>0</v>
      </c>
      <c r="M566">
        <v>79.59999999999999</v>
      </c>
    </row>
    <row r="567" spans="1:13">
      <c r="A567" s="1">
        <f>HYPERLINK("https://lsnyc.legalserver.org/matter/dynamic-profile/view/1852140","17-1852140")</f>
        <v>0</v>
      </c>
      <c r="B567" t="s">
        <v>13</v>
      </c>
      <c r="C567" t="s">
        <v>344</v>
      </c>
      <c r="D567" t="s">
        <v>1053</v>
      </c>
      <c r="E567" t="s">
        <v>1754</v>
      </c>
      <c r="F567" t="s">
        <v>2089</v>
      </c>
      <c r="G567">
        <v>10453</v>
      </c>
      <c r="K567">
        <v>1</v>
      </c>
      <c r="L567">
        <v>0</v>
      </c>
      <c r="M567">
        <v>79.59999999999999</v>
      </c>
    </row>
    <row r="568" spans="1:13">
      <c r="A568" s="1">
        <f>HYPERLINK("https://lsnyc.legalserver.org/matter/dynamic-profile/view/1839994","17-1839994")</f>
        <v>0</v>
      </c>
      <c r="B568" t="s">
        <v>13</v>
      </c>
      <c r="C568" t="s">
        <v>39</v>
      </c>
      <c r="D568" t="s">
        <v>1068</v>
      </c>
      <c r="E568" t="s">
        <v>1490</v>
      </c>
      <c r="F568" t="s">
        <v>2091</v>
      </c>
      <c r="G568">
        <v>11208</v>
      </c>
      <c r="K568">
        <v>1</v>
      </c>
      <c r="L568">
        <v>0</v>
      </c>
      <c r="M568">
        <v>79.59999999999999</v>
      </c>
    </row>
    <row r="569" spans="1:13">
      <c r="A569" s="1">
        <f>HYPERLINK("https://lsnyc.legalserver.org/matter/dynamic-profile/view/1844626","17-1844626")</f>
        <v>0</v>
      </c>
      <c r="B569" t="s">
        <v>13</v>
      </c>
      <c r="C569" t="s">
        <v>39</v>
      </c>
      <c r="D569" t="s">
        <v>1068</v>
      </c>
      <c r="E569" t="s">
        <v>1490</v>
      </c>
      <c r="F569" t="s">
        <v>2091</v>
      </c>
      <c r="G569">
        <v>11208</v>
      </c>
      <c r="K569">
        <v>1</v>
      </c>
      <c r="L569">
        <v>0</v>
      </c>
      <c r="M569">
        <v>79.59999999999999</v>
      </c>
    </row>
    <row r="570" spans="1:13">
      <c r="A570" s="1">
        <f>HYPERLINK("https://lsnyc.legalserver.org/matter/dynamic-profile/view/1834576","17-1834576")</f>
        <v>0</v>
      </c>
      <c r="B570" t="s">
        <v>13</v>
      </c>
      <c r="C570" t="s">
        <v>265</v>
      </c>
      <c r="D570" t="s">
        <v>1051</v>
      </c>
      <c r="E570" t="s">
        <v>1623</v>
      </c>
      <c r="F570" t="s">
        <v>2093</v>
      </c>
      <c r="G570">
        <v>10033</v>
      </c>
      <c r="K570">
        <v>1</v>
      </c>
      <c r="L570">
        <v>0</v>
      </c>
      <c r="M570">
        <v>79.59999999999999</v>
      </c>
    </row>
    <row r="571" spans="1:13">
      <c r="A571" s="1">
        <f>HYPERLINK("https://lsnyc.legalserver.org/matter/dynamic-profile/view/0803220","16-0803220")</f>
        <v>0</v>
      </c>
      <c r="B571" t="s">
        <v>13</v>
      </c>
      <c r="C571" t="s">
        <v>361</v>
      </c>
      <c r="D571" t="s">
        <v>1069</v>
      </c>
      <c r="E571" t="s">
        <v>1768</v>
      </c>
      <c r="F571" t="s">
        <v>2092</v>
      </c>
      <c r="G571">
        <v>11354</v>
      </c>
      <c r="K571">
        <v>2</v>
      </c>
      <c r="L571">
        <v>0</v>
      </c>
      <c r="M571">
        <v>79.81999999999999</v>
      </c>
    </row>
    <row r="572" spans="1:13">
      <c r="A572" s="1">
        <f>HYPERLINK("https://lsnyc.legalserver.org/matter/dynamic-profile/view/0806476","16-0806476")</f>
        <v>0</v>
      </c>
      <c r="B572" t="s">
        <v>13</v>
      </c>
      <c r="C572" t="s">
        <v>361</v>
      </c>
      <c r="D572" t="s">
        <v>1069</v>
      </c>
      <c r="E572" t="s">
        <v>1768</v>
      </c>
      <c r="F572" t="s">
        <v>2092</v>
      </c>
      <c r="G572">
        <v>11354</v>
      </c>
      <c r="K572">
        <v>2</v>
      </c>
      <c r="L572">
        <v>0</v>
      </c>
      <c r="M572">
        <v>79.81999999999999</v>
      </c>
    </row>
    <row r="573" spans="1:13">
      <c r="A573" s="1">
        <f>HYPERLINK("https://lsnyc.legalserver.org/matter/dynamic-profile/view/1849942","17-1849942")</f>
        <v>0</v>
      </c>
      <c r="B573" t="s">
        <v>13</v>
      </c>
      <c r="C573" t="s">
        <v>162</v>
      </c>
      <c r="D573" t="s">
        <v>1070</v>
      </c>
      <c r="E573" t="s">
        <v>1769</v>
      </c>
      <c r="F573" t="s">
        <v>2089</v>
      </c>
      <c r="G573">
        <v>10454</v>
      </c>
      <c r="K573">
        <v>2</v>
      </c>
      <c r="L573">
        <v>0</v>
      </c>
      <c r="M573">
        <v>79.87</v>
      </c>
    </row>
    <row r="574" spans="1:13">
      <c r="A574" s="1">
        <f>HYPERLINK("https://lsnyc.legalserver.org/matter/dynamic-profile/view/1837417","17-1837417")</f>
        <v>0</v>
      </c>
      <c r="B574" t="s">
        <v>13</v>
      </c>
      <c r="C574" t="s">
        <v>362</v>
      </c>
      <c r="D574" t="s">
        <v>1071</v>
      </c>
      <c r="E574" t="s">
        <v>1770</v>
      </c>
      <c r="F574" t="s">
        <v>2107</v>
      </c>
      <c r="G574">
        <v>11377</v>
      </c>
      <c r="K574">
        <v>1</v>
      </c>
      <c r="L574">
        <v>0</v>
      </c>
      <c r="M574">
        <v>79.90000000000001</v>
      </c>
    </row>
    <row r="575" spans="1:13">
      <c r="A575" s="1">
        <f>HYPERLINK("https://lsnyc.legalserver.org/matter/dynamic-profile/view/1868052","18-1868052")</f>
        <v>0</v>
      </c>
      <c r="B575" t="s">
        <v>13</v>
      </c>
      <c r="C575" t="s">
        <v>363</v>
      </c>
      <c r="D575" t="s">
        <v>705</v>
      </c>
      <c r="E575" t="s">
        <v>1771</v>
      </c>
      <c r="F575" t="s">
        <v>2089</v>
      </c>
      <c r="G575">
        <v>10452</v>
      </c>
      <c r="K575">
        <v>2</v>
      </c>
      <c r="L575">
        <v>0</v>
      </c>
      <c r="M575">
        <v>79.98</v>
      </c>
    </row>
    <row r="576" spans="1:13">
      <c r="A576" s="1">
        <f>HYPERLINK("https://lsnyc.legalserver.org/matter/dynamic-profile/view/1863662","18-1863662")</f>
        <v>0</v>
      </c>
      <c r="B576" t="s">
        <v>13</v>
      </c>
      <c r="C576" t="s">
        <v>364</v>
      </c>
      <c r="D576" t="s">
        <v>841</v>
      </c>
      <c r="E576" t="s">
        <v>1772</v>
      </c>
      <c r="F576" t="s">
        <v>2093</v>
      </c>
      <c r="G576">
        <v>10034</v>
      </c>
      <c r="K576">
        <v>2</v>
      </c>
      <c r="L576">
        <v>0</v>
      </c>
      <c r="M576">
        <v>80.19</v>
      </c>
    </row>
    <row r="577" spans="1:13">
      <c r="A577" s="1">
        <f>HYPERLINK("https://lsnyc.legalserver.org/matter/dynamic-profile/view/1841631","17-1841631")</f>
        <v>0</v>
      </c>
      <c r="B577" t="s">
        <v>13</v>
      </c>
      <c r="C577" t="s">
        <v>365</v>
      </c>
      <c r="D577" t="s">
        <v>731</v>
      </c>
      <c r="E577" t="s">
        <v>1773</v>
      </c>
      <c r="F577" t="s">
        <v>2091</v>
      </c>
      <c r="G577">
        <v>11215</v>
      </c>
      <c r="K577">
        <v>1</v>
      </c>
      <c r="L577">
        <v>0</v>
      </c>
      <c r="M577">
        <v>80.2</v>
      </c>
    </row>
    <row r="578" spans="1:13">
      <c r="A578" s="1">
        <f>HYPERLINK("https://lsnyc.legalserver.org/matter/dynamic-profile/view/1842320","17-1842320")</f>
        <v>0</v>
      </c>
      <c r="B578" t="s">
        <v>13</v>
      </c>
      <c r="C578" t="s">
        <v>366</v>
      </c>
      <c r="D578" t="s">
        <v>761</v>
      </c>
      <c r="E578" t="s">
        <v>1774</v>
      </c>
      <c r="F578" t="s">
        <v>2091</v>
      </c>
      <c r="G578">
        <v>11207</v>
      </c>
      <c r="K578">
        <v>1</v>
      </c>
      <c r="L578">
        <v>0</v>
      </c>
      <c r="M578">
        <v>80.2</v>
      </c>
    </row>
    <row r="579" spans="1:13">
      <c r="A579" s="1">
        <f>HYPERLINK("https://lsnyc.legalserver.org/matter/dynamic-profile/view/1840627","17-1840627")</f>
        <v>0</v>
      </c>
      <c r="B579" t="s">
        <v>13</v>
      </c>
      <c r="C579" t="s">
        <v>183</v>
      </c>
      <c r="D579" t="s">
        <v>1072</v>
      </c>
      <c r="E579" t="s">
        <v>1775</v>
      </c>
      <c r="F579" t="s">
        <v>2090</v>
      </c>
      <c r="G579">
        <v>10305</v>
      </c>
      <c r="K579">
        <v>1</v>
      </c>
      <c r="L579">
        <v>0</v>
      </c>
      <c r="M579">
        <v>80.59999999999999</v>
      </c>
    </row>
    <row r="580" spans="1:13">
      <c r="A580" s="1">
        <f>HYPERLINK("https://lsnyc.legalserver.org/matter/dynamic-profile/view/1846090","17-1846090")</f>
        <v>0</v>
      </c>
      <c r="B580" t="s">
        <v>13</v>
      </c>
      <c r="C580" t="s">
        <v>367</v>
      </c>
      <c r="D580" t="s">
        <v>1073</v>
      </c>
      <c r="E580" t="s">
        <v>1490</v>
      </c>
      <c r="F580" t="s">
        <v>2091</v>
      </c>
      <c r="G580">
        <v>11208</v>
      </c>
      <c r="K580">
        <v>1</v>
      </c>
      <c r="L580">
        <v>0</v>
      </c>
      <c r="M580">
        <v>80.8</v>
      </c>
    </row>
    <row r="581" spans="1:13">
      <c r="A581" s="1">
        <f>HYPERLINK("https://lsnyc.legalserver.org/matter/dynamic-profile/view/0819808","16-0819808")</f>
        <v>0</v>
      </c>
      <c r="B581" t="s">
        <v>13</v>
      </c>
      <c r="C581" t="s">
        <v>358</v>
      </c>
      <c r="D581" t="s">
        <v>829</v>
      </c>
      <c r="E581" t="s">
        <v>1460</v>
      </c>
      <c r="F581" t="s">
        <v>2089</v>
      </c>
      <c r="G581">
        <v>10453</v>
      </c>
      <c r="K581">
        <v>1</v>
      </c>
      <c r="L581">
        <v>0</v>
      </c>
      <c r="M581">
        <v>80.81</v>
      </c>
    </row>
    <row r="582" spans="1:13">
      <c r="A582" s="1">
        <f>HYPERLINK("https://lsnyc.legalserver.org/matter/dynamic-profile/view/0819811","16-0819811")</f>
        <v>0</v>
      </c>
      <c r="B582" t="s">
        <v>13</v>
      </c>
      <c r="C582" t="s">
        <v>358</v>
      </c>
      <c r="D582" t="s">
        <v>829</v>
      </c>
      <c r="E582" t="s">
        <v>1460</v>
      </c>
      <c r="F582" t="s">
        <v>2089</v>
      </c>
      <c r="G582">
        <v>10453</v>
      </c>
      <c r="K582">
        <v>1</v>
      </c>
      <c r="L582">
        <v>0</v>
      </c>
      <c r="M582">
        <v>80.81</v>
      </c>
    </row>
    <row r="583" spans="1:13">
      <c r="A583" s="1">
        <f>HYPERLINK("https://lsnyc.legalserver.org/matter/dynamic-profile/view/0815687","16-0815687")</f>
        <v>0</v>
      </c>
      <c r="B583" t="s">
        <v>13</v>
      </c>
      <c r="C583" t="s">
        <v>285</v>
      </c>
      <c r="D583" t="s">
        <v>804</v>
      </c>
      <c r="E583" t="s">
        <v>1701</v>
      </c>
      <c r="F583" t="s">
        <v>2089</v>
      </c>
      <c r="G583">
        <v>10453</v>
      </c>
      <c r="K583">
        <v>1</v>
      </c>
      <c r="L583">
        <v>0</v>
      </c>
      <c r="M583">
        <v>80.81</v>
      </c>
    </row>
    <row r="584" spans="1:13">
      <c r="A584" s="1">
        <f>HYPERLINK("https://lsnyc.legalserver.org/matter/dynamic-profile/view/0822169","16-0822169")</f>
        <v>0</v>
      </c>
      <c r="B584" t="s">
        <v>13</v>
      </c>
      <c r="C584" t="s">
        <v>368</v>
      </c>
      <c r="D584" t="s">
        <v>1074</v>
      </c>
      <c r="E584" t="s">
        <v>1473</v>
      </c>
      <c r="F584" t="s">
        <v>2089</v>
      </c>
      <c r="G584">
        <v>10467</v>
      </c>
      <c r="K584">
        <v>1</v>
      </c>
      <c r="L584">
        <v>0</v>
      </c>
      <c r="M584">
        <v>80.81</v>
      </c>
    </row>
    <row r="585" spans="1:13">
      <c r="A585" s="1">
        <f>HYPERLINK("https://lsnyc.legalserver.org/matter/dynamic-profile/view/0803493","16-0803493")</f>
        <v>0</v>
      </c>
      <c r="B585" t="s">
        <v>13</v>
      </c>
      <c r="C585" t="s">
        <v>131</v>
      </c>
      <c r="D585" t="s">
        <v>1075</v>
      </c>
      <c r="E585" t="s">
        <v>1776</v>
      </c>
      <c r="F585" t="s">
        <v>2089</v>
      </c>
      <c r="G585">
        <v>10452</v>
      </c>
      <c r="K585">
        <v>1</v>
      </c>
      <c r="L585">
        <v>0</v>
      </c>
      <c r="M585">
        <v>80.81</v>
      </c>
    </row>
    <row r="586" spans="1:13">
      <c r="A586" s="1">
        <f>HYPERLINK("https://lsnyc.legalserver.org/matter/dynamic-profile/view/0820935","16-0820935")</f>
        <v>0</v>
      </c>
      <c r="B586" t="s">
        <v>13</v>
      </c>
      <c r="C586" t="s">
        <v>369</v>
      </c>
      <c r="D586" t="s">
        <v>1076</v>
      </c>
      <c r="E586" t="s">
        <v>1440</v>
      </c>
      <c r="F586" t="s">
        <v>2091</v>
      </c>
      <c r="G586">
        <v>11213</v>
      </c>
      <c r="K586">
        <v>1</v>
      </c>
      <c r="L586">
        <v>0</v>
      </c>
      <c r="M586">
        <v>80.83</v>
      </c>
    </row>
    <row r="587" spans="1:13">
      <c r="A587" s="1">
        <f>HYPERLINK("https://lsnyc.legalserver.org/matter/dynamic-profile/view/1840825","17-1840825")</f>
        <v>0</v>
      </c>
      <c r="B587" t="s">
        <v>13</v>
      </c>
      <c r="C587" t="s">
        <v>370</v>
      </c>
      <c r="D587" t="s">
        <v>1077</v>
      </c>
      <c r="E587" t="s">
        <v>1460</v>
      </c>
      <c r="F587" t="s">
        <v>2089</v>
      </c>
      <c r="G587">
        <v>10453</v>
      </c>
      <c r="K587">
        <v>1</v>
      </c>
      <c r="L587">
        <v>0</v>
      </c>
      <c r="M587">
        <v>80.87</v>
      </c>
    </row>
    <row r="588" spans="1:13">
      <c r="A588" s="1">
        <f>HYPERLINK("https://lsnyc.legalserver.org/matter/dynamic-profile/view/1863789","18-1863789")</f>
        <v>0</v>
      </c>
      <c r="B588" t="s">
        <v>13</v>
      </c>
      <c r="C588" t="s">
        <v>293</v>
      </c>
      <c r="D588" t="s">
        <v>1062</v>
      </c>
      <c r="E588" t="s">
        <v>1623</v>
      </c>
      <c r="F588" t="s">
        <v>2093</v>
      </c>
      <c r="G588">
        <v>10033</v>
      </c>
      <c r="K588">
        <v>1</v>
      </c>
      <c r="L588">
        <v>0</v>
      </c>
      <c r="M588">
        <v>81.05</v>
      </c>
    </row>
    <row r="589" spans="1:13">
      <c r="A589" s="1">
        <f>HYPERLINK("https://lsnyc.legalserver.org/matter/dynamic-profile/view/1863774","18-1863774")</f>
        <v>0</v>
      </c>
      <c r="B589" t="s">
        <v>13</v>
      </c>
      <c r="C589" t="s">
        <v>39</v>
      </c>
      <c r="D589" t="s">
        <v>1078</v>
      </c>
      <c r="E589" t="s">
        <v>1623</v>
      </c>
      <c r="F589" t="s">
        <v>2093</v>
      </c>
      <c r="G589">
        <v>10033</v>
      </c>
      <c r="K589">
        <v>1</v>
      </c>
      <c r="L589">
        <v>0</v>
      </c>
      <c r="M589">
        <v>81.05</v>
      </c>
    </row>
    <row r="590" spans="1:13">
      <c r="A590" s="1">
        <f>HYPERLINK("https://lsnyc.legalserver.org/matter/dynamic-profile/view/1864820","18-1864820")</f>
        <v>0</v>
      </c>
      <c r="B590" t="s">
        <v>13</v>
      </c>
      <c r="C590" t="s">
        <v>157</v>
      </c>
      <c r="D590" t="s">
        <v>814</v>
      </c>
      <c r="E590" t="s">
        <v>1547</v>
      </c>
      <c r="F590" t="s">
        <v>2089</v>
      </c>
      <c r="G590">
        <v>10452</v>
      </c>
      <c r="K590">
        <v>1</v>
      </c>
      <c r="L590">
        <v>0</v>
      </c>
      <c r="M590">
        <v>81.05</v>
      </c>
    </row>
    <row r="591" spans="1:13">
      <c r="A591" s="1">
        <f>HYPERLINK("https://lsnyc.legalserver.org/matter/dynamic-profile/view/1862200","18-1862200")</f>
        <v>0</v>
      </c>
      <c r="B591" t="s">
        <v>13</v>
      </c>
      <c r="C591" t="s">
        <v>157</v>
      </c>
      <c r="D591" t="s">
        <v>814</v>
      </c>
      <c r="E591" t="s">
        <v>1547</v>
      </c>
      <c r="F591" t="s">
        <v>2089</v>
      </c>
      <c r="G591">
        <v>10452</v>
      </c>
      <c r="K591">
        <v>1</v>
      </c>
      <c r="L591">
        <v>0</v>
      </c>
      <c r="M591">
        <v>81.05</v>
      </c>
    </row>
    <row r="592" spans="1:13">
      <c r="A592" s="1">
        <f>HYPERLINK("https://lsnyc.legalserver.org/matter/dynamic-profile/view/1863764","18-1863764")</f>
        <v>0</v>
      </c>
      <c r="B592" t="s">
        <v>13</v>
      </c>
      <c r="C592" t="s">
        <v>39</v>
      </c>
      <c r="D592" t="s">
        <v>1079</v>
      </c>
      <c r="E592" t="s">
        <v>1512</v>
      </c>
      <c r="F592" t="s">
        <v>2093</v>
      </c>
      <c r="G592">
        <v>10029</v>
      </c>
      <c r="K592">
        <v>1</v>
      </c>
      <c r="L592">
        <v>0</v>
      </c>
      <c r="M592">
        <v>81.05</v>
      </c>
    </row>
    <row r="593" spans="1:13">
      <c r="A593" s="1">
        <f>HYPERLINK("https://lsnyc.legalserver.org/matter/dynamic-profile/view/1855977","18-1855977")</f>
        <v>0</v>
      </c>
      <c r="B593" t="s">
        <v>13</v>
      </c>
      <c r="C593" t="s">
        <v>125</v>
      </c>
      <c r="D593" t="s">
        <v>1080</v>
      </c>
      <c r="E593" t="s">
        <v>1777</v>
      </c>
      <c r="F593" t="s">
        <v>2089</v>
      </c>
      <c r="G593">
        <v>10452</v>
      </c>
      <c r="K593">
        <v>1</v>
      </c>
      <c r="L593">
        <v>0</v>
      </c>
      <c r="M593">
        <v>81.09</v>
      </c>
    </row>
    <row r="594" spans="1:13">
      <c r="A594" s="1">
        <f>HYPERLINK("https://lsnyc.legalserver.org/matter/dynamic-profile/view/1855478","18-1855478")</f>
        <v>0</v>
      </c>
      <c r="B594" t="s">
        <v>13</v>
      </c>
      <c r="C594" t="s">
        <v>371</v>
      </c>
      <c r="D594" t="s">
        <v>1081</v>
      </c>
      <c r="E594" t="s">
        <v>1778</v>
      </c>
      <c r="F594" t="s">
        <v>2091</v>
      </c>
      <c r="G594">
        <v>11238</v>
      </c>
      <c r="K594">
        <v>2</v>
      </c>
      <c r="L594">
        <v>0</v>
      </c>
      <c r="M594">
        <v>81.13</v>
      </c>
    </row>
    <row r="595" spans="1:13">
      <c r="A595" s="1">
        <f>HYPERLINK("https://lsnyc.legalserver.org/matter/dynamic-profile/view/0825897","17-0825897")</f>
        <v>0</v>
      </c>
      <c r="B595" t="s">
        <v>13</v>
      </c>
      <c r="C595" t="s">
        <v>372</v>
      </c>
      <c r="D595" t="s">
        <v>1082</v>
      </c>
      <c r="E595" t="s">
        <v>1779</v>
      </c>
      <c r="F595" t="s">
        <v>2093</v>
      </c>
      <c r="G595">
        <v>10002</v>
      </c>
      <c r="K595">
        <v>2</v>
      </c>
      <c r="L595">
        <v>0</v>
      </c>
      <c r="M595">
        <v>81.15000000000001</v>
      </c>
    </row>
    <row r="596" spans="1:13">
      <c r="A596" s="1">
        <f>HYPERLINK("https://lsnyc.legalserver.org/matter/dynamic-profile/view/1869942","18-1869942")</f>
        <v>0</v>
      </c>
      <c r="B596" t="s">
        <v>13</v>
      </c>
      <c r="C596" t="s">
        <v>173</v>
      </c>
      <c r="D596" t="s">
        <v>1083</v>
      </c>
      <c r="E596" t="s">
        <v>1780</v>
      </c>
      <c r="F596" t="s">
        <v>2089</v>
      </c>
      <c r="G596">
        <v>10456</v>
      </c>
      <c r="K596">
        <v>1</v>
      </c>
      <c r="L596">
        <v>0</v>
      </c>
      <c r="M596">
        <v>81.34999999999999</v>
      </c>
    </row>
    <row r="597" spans="1:13">
      <c r="A597" s="1">
        <f>HYPERLINK("https://lsnyc.legalserver.org/matter/dynamic-profile/view/1867849","18-1867849")</f>
        <v>0</v>
      </c>
      <c r="B597" t="s">
        <v>13</v>
      </c>
      <c r="C597" t="s">
        <v>373</v>
      </c>
      <c r="D597" t="s">
        <v>867</v>
      </c>
      <c r="E597" t="s">
        <v>1457</v>
      </c>
      <c r="F597" t="s">
        <v>2089</v>
      </c>
      <c r="G597">
        <v>10453</v>
      </c>
      <c r="K597">
        <v>1</v>
      </c>
      <c r="L597">
        <v>0</v>
      </c>
      <c r="M597">
        <v>81.55</v>
      </c>
    </row>
    <row r="598" spans="1:13">
      <c r="A598" s="1">
        <f>HYPERLINK("https://lsnyc.legalserver.org/matter/dynamic-profile/view/1867858","18-1867858")</f>
        <v>0</v>
      </c>
      <c r="B598" t="s">
        <v>13</v>
      </c>
      <c r="C598" t="s">
        <v>373</v>
      </c>
      <c r="D598" t="s">
        <v>867</v>
      </c>
      <c r="E598" t="s">
        <v>1457</v>
      </c>
      <c r="F598" t="s">
        <v>2089</v>
      </c>
      <c r="G598">
        <v>10453</v>
      </c>
      <c r="K598">
        <v>1</v>
      </c>
      <c r="L598">
        <v>0</v>
      </c>
      <c r="M598">
        <v>81.55</v>
      </c>
    </row>
    <row r="599" spans="1:13">
      <c r="A599" s="1">
        <f>HYPERLINK("https://lsnyc.legalserver.org/matter/dynamic-profile/view/1867655","18-1867655")</f>
        <v>0</v>
      </c>
      <c r="B599" t="s">
        <v>13</v>
      </c>
      <c r="C599" t="s">
        <v>374</v>
      </c>
      <c r="D599" t="s">
        <v>1084</v>
      </c>
      <c r="E599" t="s">
        <v>1697</v>
      </c>
      <c r="F599" t="s">
        <v>2089</v>
      </c>
      <c r="G599">
        <v>10456</v>
      </c>
      <c r="K599">
        <v>5</v>
      </c>
      <c r="L599">
        <v>0</v>
      </c>
      <c r="M599">
        <v>81.58</v>
      </c>
    </row>
    <row r="600" spans="1:13">
      <c r="A600" s="1">
        <f>HYPERLINK("https://lsnyc.legalserver.org/matter/dynamic-profile/view/1844846","17-1844846")</f>
        <v>0</v>
      </c>
      <c r="B600" t="s">
        <v>13</v>
      </c>
      <c r="C600" t="s">
        <v>183</v>
      </c>
      <c r="D600" t="s">
        <v>72</v>
      </c>
      <c r="E600" t="s">
        <v>1529</v>
      </c>
      <c r="F600" t="s">
        <v>2091</v>
      </c>
      <c r="G600">
        <v>11213</v>
      </c>
      <c r="K600">
        <v>1</v>
      </c>
      <c r="L600">
        <v>0</v>
      </c>
      <c r="M600">
        <v>81.59</v>
      </c>
    </row>
    <row r="601" spans="1:13">
      <c r="A601" s="1">
        <f>HYPERLINK("https://lsnyc.legalserver.org/matter/dynamic-profile/view/1837949","17-1837949")</f>
        <v>0</v>
      </c>
      <c r="B601" t="s">
        <v>13</v>
      </c>
      <c r="C601" t="s">
        <v>241</v>
      </c>
      <c r="D601" t="s">
        <v>1085</v>
      </c>
      <c r="E601" t="s">
        <v>1521</v>
      </c>
      <c r="F601" t="s">
        <v>2089</v>
      </c>
      <c r="G601">
        <v>10463</v>
      </c>
      <c r="K601">
        <v>1</v>
      </c>
      <c r="L601">
        <v>0</v>
      </c>
      <c r="M601">
        <v>81.59</v>
      </c>
    </row>
    <row r="602" spans="1:13">
      <c r="A602" s="1">
        <f>HYPERLINK("https://lsnyc.legalserver.org/matter/dynamic-profile/view/1834986","17-1834986")</f>
        <v>0</v>
      </c>
      <c r="B602" t="s">
        <v>13</v>
      </c>
      <c r="C602" t="s">
        <v>39</v>
      </c>
      <c r="D602" t="s">
        <v>1078</v>
      </c>
      <c r="E602" t="s">
        <v>1623</v>
      </c>
      <c r="F602" t="s">
        <v>2093</v>
      </c>
      <c r="G602">
        <v>10033</v>
      </c>
      <c r="K602">
        <v>1</v>
      </c>
      <c r="L602">
        <v>0</v>
      </c>
      <c r="M602">
        <v>81.59</v>
      </c>
    </row>
    <row r="603" spans="1:13">
      <c r="A603" s="1">
        <f>HYPERLINK("https://lsnyc.legalserver.org/matter/dynamic-profile/view/0832186","17-0832186")</f>
        <v>0</v>
      </c>
      <c r="B603" t="s">
        <v>13</v>
      </c>
      <c r="C603" t="s">
        <v>375</v>
      </c>
      <c r="D603" t="s">
        <v>1086</v>
      </c>
      <c r="E603" t="s">
        <v>1781</v>
      </c>
      <c r="F603" t="s">
        <v>2091</v>
      </c>
      <c r="G603">
        <v>11233</v>
      </c>
      <c r="K603">
        <v>1</v>
      </c>
      <c r="L603">
        <v>0</v>
      </c>
      <c r="M603">
        <v>81.59</v>
      </c>
    </row>
    <row r="604" spans="1:13">
      <c r="A604" s="1">
        <f>HYPERLINK("https://lsnyc.legalserver.org/matter/dynamic-profile/view/1850915","17-1850915")</f>
        <v>0</v>
      </c>
      <c r="B604" t="s">
        <v>13</v>
      </c>
      <c r="C604" t="s">
        <v>376</v>
      </c>
      <c r="D604" t="s">
        <v>1087</v>
      </c>
      <c r="E604" t="s">
        <v>1782</v>
      </c>
      <c r="F604" t="s">
        <v>2093</v>
      </c>
      <c r="G604">
        <v>10034</v>
      </c>
      <c r="K604">
        <v>1</v>
      </c>
      <c r="L604">
        <v>0</v>
      </c>
      <c r="M604">
        <v>81.59</v>
      </c>
    </row>
    <row r="605" spans="1:13">
      <c r="A605" s="1">
        <f>HYPERLINK("https://lsnyc.legalserver.org/matter/dynamic-profile/view/1835019","17-1835019")</f>
        <v>0</v>
      </c>
      <c r="B605" t="s">
        <v>13</v>
      </c>
      <c r="C605" t="s">
        <v>39</v>
      </c>
      <c r="D605" t="s">
        <v>1078</v>
      </c>
      <c r="E605" t="s">
        <v>1623</v>
      </c>
      <c r="F605" t="s">
        <v>2093</v>
      </c>
      <c r="G605">
        <v>10033</v>
      </c>
      <c r="K605">
        <v>1</v>
      </c>
      <c r="L605">
        <v>0</v>
      </c>
      <c r="M605">
        <v>81.59</v>
      </c>
    </row>
    <row r="606" spans="1:13">
      <c r="A606" s="1">
        <f>HYPERLINK("https://lsnyc.legalserver.org/matter/dynamic-profile/view/1835851","17-1835851")</f>
        <v>0</v>
      </c>
      <c r="B606" t="s">
        <v>13</v>
      </c>
      <c r="C606" t="s">
        <v>377</v>
      </c>
      <c r="D606" t="s">
        <v>841</v>
      </c>
      <c r="E606" t="s">
        <v>1783</v>
      </c>
      <c r="F606" t="s">
        <v>2089</v>
      </c>
      <c r="G606">
        <v>10452</v>
      </c>
      <c r="K606">
        <v>1</v>
      </c>
      <c r="L606">
        <v>0</v>
      </c>
      <c r="M606">
        <v>81.59</v>
      </c>
    </row>
    <row r="607" spans="1:13">
      <c r="A607" s="1">
        <f>HYPERLINK("https://lsnyc.legalserver.org/matter/dynamic-profile/view/1849098","17-1849098")</f>
        <v>0</v>
      </c>
      <c r="B607" t="s">
        <v>13</v>
      </c>
      <c r="C607" t="s">
        <v>378</v>
      </c>
      <c r="D607" t="s">
        <v>1088</v>
      </c>
      <c r="E607" t="s">
        <v>1784</v>
      </c>
      <c r="F607" t="s">
        <v>2091</v>
      </c>
      <c r="G607">
        <v>11212</v>
      </c>
      <c r="K607">
        <v>1</v>
      </c>
      <c r="L607">
        <v>0</v>
      </c>
      <c r="M607">
        <v>81.59</v>
      </c>
    </row>
    <row r="608" spans="1:13">
      <c r="A608" s="1">
        <f>HYPERLINK("https://lsnyc.legalserver.org/matter/dynamic-profile/view/1834650","17-1834650")</f>
        <v>0</v>
      </c>
      <c r="B608" t="s">
        <v>13</v>
      </c>
      <c r="C608" t="s">
        <v>293</v>
      </c>
      <c r="D608" t="s">
        <v>1062</v>
      </c>
      <c r="E608" t="s">
        <v>1623</v>
      </c>
      <c r="F608" t="s">
        <v>2093</v>
      </c>
      <c r="G608">
        <v>10033</v>
      </c>
      <c r="K608">
        <v>1</v>
      </c>
      <c r="L608">
        <v>0</v>
      </c>
      <c r="M608">
        <v>81.59</v>
      </c>
    </row>
    <row r="609" spans="1:13">
      <c r="A609" s="1">
        <f>HYPERLINK("https://lsnyc.legalserver.org/matter/dynamic-profile/view/1860212","18-1860212")</f>
        <v>0</v>
      </c>
      <c r="B609" t="s">
        <v>13</v>
      </c>
      <c r="C609" t="s">
        <v>375</v>
      </c>
      <c r="D609" t="s">
        <v>1086</v>
      </c>
      <c r="E609" t="s">
        <v>1781</v>
      </c>
      <c r="F609" t="s">
        <v>2091</v>
      </c>
      <c r="G609">
        <v>11233</v>
      </c>
      <c r="K609">
        <v>1</v>
      </c>
      <c r="L609">
        <v>0</v>
      </c>
      <c r="M609">
        <v>81.59</v>
      </c>
    </row>
    <row r="610" spans="1:13">
      <c r="A610" s="1">
        <f>HYPERLINK("https://lsnyc.legalserver.org/matter/dynamic-profile/view/1867624","18-1867624")</f>
        <v>0</v>
      </c>
      <c r="B610" t="s">
        <v>13</v>
      </c>
      <c r="C610" t="s">
        <v>379</v>
      </c>
      <c r="D610" t="s">
        <v>1089</v>
      </c>
      <c r="E610" t="s">
        <v>1785</v>
      </c>
      <c r="F610" t="s">
        <v>2093</v>
      </c>
      <c r="G610">
        <v>10035</v>
      </c>
      <c r="K610">
        <v>1</v>
      </c>
      <c r="L610">
        <v>0</v>
      </c>
      <c r="M610">
        <v>81.65000000000001</v>
      </c>
    </row>
    <row r="611" spans="1:13">
      <c r="A611" s="1">
        <f>HYPERLINK("https://lsnyc.legalserver.org/matter/dynamic-profile/view/1834730","17-1834730")</f>
        <v>0</v>
      </c>
      <c r="B611" t="s">
        <v>13</v>
      </c>
      <c r="C611" t="s">
        <v>380</v>
      </c>
      <c r="D611" t="s">
        <v>1090</v>
      </c>
      <c r="E611" t="s">
        <v>1772</v>
      </c>
      <c r="F611" t="s">
        <v>2093</v>
      </c>
      <c r="G611">
        <v>10034</v>
      </c>
      <c r="K611">
        <v>3</v>
      </c>
      <c r="L611">
        <v>0</v>
      </c>
      <c r="M611">
        <v>81.68000000000001</v>
      </c>
    </row>
    <row r="612" spans="1:13">
      <c r="A612" s="1">
        <f>HYPERLINK("https://lsnyc.legalserver.org/matter/dynamic-profile/view/1850465","17-1850465")</f>
        <v>0</v>
      </c>
      <c r="B612" t="s">
        <v>13</v>
      </c>
      <c r="C612" t="s">
        <v>55</v>
      </c>
      <c r="D612" t="s">
        <v>304</v>
      </c>
      <c r="E612" t="s">
        <v>1786</v>
      </c>
      <c r="F612" t="s">
        <v>2090</v>
      </c>
      <c r="G612">
        <v>10301</v>
      </c>
      <c r="K612">
        <v>1</v>
      </c>
      <c r="L612">
        <v>0</v>
      </c>
      <c r="M612">
        <v>81.79000000000001</v>
      </c>
    </row>
    <row r="613" spans="1:13">
      <c r="A613" s="1">
        <f>HYPERLINK("https://lsnyc.legalserver.org/matter/dynamic-profile/view/1844283","17-1844283")</f>
        <v>0</v>
      </c>
      <c r="B613" t="s">
        <v>13</v>
      </c>
      <c r="C613" t="s">
        <v>381</v>
      </c>
      <c r="D613" t="s">
        <v>1091</v>
      </c>
      <c r="E613" t="s">
        <v>1666</v>
      </c>
      <c r="F613" t="s">
        <v>2093</v>
      </c>
      <c r="G613">
        <v>10040</v>
      </c>
      <c r="K613">
        <v>1</v>
      </c>
      <c r="L613">
        <v>0</v>
      </c>
      <c r="M613">
        <v>81.79000000000001</v>
      </c>
    </row>
    <row r="614" spans="1:13">
      <c r="A614" s="1">
        <f>HYPERLINK("https://lsnyc.legalserver.org/matter/dynamic-profile/view/1838878","17-1838878")</f>
        <v>0</v>
      </c>
      <c r="B614" t="s">
        <v>13</v>
      </c>
      <c r="C614" t="s">
        <v>382</v>
      </c>
      <c r="D614" t="s">
        <v>1092</v>
      </c>
      <c r="E614" t="s">
        <v>1787</v>
      </c>
      <c r="F614" t="s">
        <v>2089</v>
      </c>
      <c r="G614">
        <v>10473</v>
      </c>
      <c r="K614">
        <v>1</v>
      </c>
      <c r="L614">
        <v>0</v>
      </c>
      <c r="M614">
        <v>81.79000000000001</v>
      </c>
    </row>
    <row r="615" spans="1:13">
      <c r="A615" s="1">
        <f>HYPERLINK("https://lsnyc.legalserver.org/matter/dynamic-profile/view/1852358","17-1852358")</f>
        <v>0</v>
      </c>
      <c r="B615" t="s">
        <v>13</v>
      </c>
      <c r="C615" t="s">
        <v>383</v>
      </c>
      <c r="D615" t="s">
        <v>1093</v>
      </c>
      <c r="E615" t="s">
        <v>1697</v>
      </c>
      <c r="F615" t="s">
        <v>2089</v>
      </c>
      <c r="G615">
        <v>10456</v>
      </c>
      <c r="K615">
        <v>1</v>
      </c>
      <c r="L615">
        <v>0</v>
      </c>
      <c r="M615">
        <v>81.79000000000001</v>
      </c>
    </row>
    <row r="616" spans="1:13">
      <c r="A616" s="1">
        <f>HYPERLINK("https://lsnyc.legalserver.org/matter/dynamic-profile/view/1836256","17-1836256")</f>
        <v>0</v>
      </c>
      <c r="B616" t="s">
        <v>13</v>
      </c>
      <c r="C616" t="s">
        <v>384</v>
      </c>
      <c r="D616" t="s">
        <v>986</v>
      </c>
      <c r="E616" t="s">
        <v>1788</v>
      </c>
      <c r="F616" t="s">
        <v>2091</v>
      </c>
      <c r="G616">
        <v>11233</v>
      </c>
      <c r="K616">
        <v>1</v>
      </c>
      <c r="L616">
        <v>0</v>
      </c>
      <c r="M616">
        <v>81.79000000000001</v>
      </c>
    </row>
    <row r="617" spans="1:13">
      <c r="A617" s="1">
        <f>HYPERLINK("https://lsnyc.legalserver.org/matter/dynamic-profile/view/0832329","17-0832329")</f>
        <v>0</v>
      </c>
      <c r="B617" t="s">
        <v>13</v>
      </c>
      <c r="C617" t="s">
        <v>237</v>
      </c>
      <c r="D617" t="s">
        <v>778</v>
      </c>
      <c r="E617" t="s">
        <v>1650</v>
      </c>
      <c r="F617" t="s">
        <v>2091</v>
      </c>
      <c r="G617">
        <v>11239</v>
      </c>
      <c r="K617">
        <v>1</v>
      </c>
      <c r="L617">
        <v>0</v>
      </c>
      <c r="M617">
        <v>81.79000000000001</v>
      </c>
    </row>
    <row r="618" spans="1:13">
      <c r="A618" s="1">
        <f>HYPERLINK("https://lsnyc.legalserver.org/matter/dynamic-profile/view/1844670","17-1844670")</f>
        <v>0</v>
      </c>
      <c r="B618" t="s">
        <v>13</v>
      </c>
      <c r="C618" t="s">
        <v>385</v>
      </c>
      <c r="D618" t="s">
        <v>1094</v>
      </c>
      <c r="E618" t="s">
        <v>1789</v>
      </c>
      <c r="F618" t="s">
        <v>2089</v>
      </c>
      <c r="G618">
        <v>10452</v>
      </c>
      <c r="K618">
        <v>1</v>
      </c>
      <c r="L618">
        <v>0</v>
      </c>
      <c r="M618">
        <v>81.89</v>
      </c>
    </row>
    <row r="619" spans="1:13">
      <c r="A619" s="1">
        <f>HYPERLINK("https://lsnyc.legalserver.org/matter/dynamic-profile/view/0812555","16-0812555")</f>
        <v>0</v>
      </c>
      <c r="B619" t="s">
        <v>13</v>
      </c>
      <c r="C619" t="s">
        <v>386</v>
      </c>
      <c r="D619" t="s">
        <v>1095</v>
      </c>
      <c r="E619" t="s">
        <v>1735</v>
      </c>
      <c r="F619" t="s">
        <v>2089</v>
      </c>
      <c r="G619">
        <v>10452</v>
      </c>
      <c r="K619">
        <v>1</v>
      </c>
      <c r="L619">
        <v>0</v>
      </c>
      <c r="M619">
        <v>81.92</v>
      </c>
    </row>
    <row r="620" spans="1:13">
      <c r="A620" s="1">
        <f>HYPERLINK("https://lsnyc.legalserver.org/matter/dynamic-profile/view/1863704","18-1863704")</f>
        <v>0</v>
      </c>
      <c r="B620" t="s">
        <v>13</v>
      </c>
      <c r="C620" t="s">
        <v>83</v>
      </c>
      <c r="D620" t="s">
        <v>887</v>
      </c>
      <c r="E620" t="s">
        <v>1790</v>
      </c>
      <c r="F620" t="s">
        <v>2090</v>
      </c>
      <c r="G620">
        <v>10304</v>
      </c>
      <c r="K620">
        <v>1</v>
      </c>
      <c r="L620">
        <v>0</v>
      </c>
      <c r="M620">
        <v>81.94</v>
      </c>
    </row>
    <row r="621" spans="1:13">
      <c r="A621" s="1">
        <f>HYPERLINK("https://lsnyc.legalserver.org/matter/dynamic-profile/view/1843978","17-1843978")</f>
        <v>0</v>
      </c>
      <c r="B621" t="s">
        <v>13</v>
      </c>
      <c r="C621" t="s">
        <v>227</v>
      </c>
      <c r="D621" t="s">
        <v>925</v>
      </c>
      <c r="E621" t="s">
        <v>1638</v>
      </c>
      <c r="F621" t="s">
        <v>2090</v>
      </c>
      <c r="G621">
        <v>10301</v>
      </c>
      <c r="K621">
        <v>1</v>
      </c>
      <c r="L621">
        <v>0</v>
      </c>
      <c r="M621">
        <v>81.98999999999999</v>
      </c>
    </row>
    <row r="622" spans="1:13">
      <c r="A622" s="1">
        <f>HYPERLINK("https://lsnyc.legalserver.org/matter/dynamic-profile/view/1865312","18-1865312")</f>
        <v>0</v>
      </c>
      <c r="B622" t="s">
        <v>13</v>
      </c>
      <c r="C622" t="s">
        <v>88</v>
      </c>
      <c r="D622" t="s">
        <v>1096</v>
      </c>
      <c r="E622" t="s">
        <v>1791</v>
      </c>
      <c r="F622" t="s">
        <v>2089</v>
      </c>
      <c r="G622">
        <v>10452</v>
      </c>
      <c r="K622">
        <v>1</v>
      </c>
      <c r="L622">
        <v>0</v>
      </c>
      <c r="M622">
        <v>82.04000000000001</v>
      </c>
    </row>
    <row r="623" spans="1:13">
      <c r="A623" s="1">
        <f>HYPERLINK("https://lsnyc.legalserver.org/matter/dynamic-profile/view/1852740","17-1852740")</f>
        <v>0</v>
      </c>
      <c r="B623" t="s">
        <v>13</v>
      </c>
      <c r="C623" t="s">
        <v>217</v>
      </c>
      <c r="D623" t="s">
        <v>814</v>
      </c>
      <c r="E623" t="s">
        <v>1792</v>
      </c>
      <c r="F623" t="s">
        <v>2090</v>
      </c>
      <c r="G623">
        <v>10304</v>
      </c>
      <c r="K623">
        <v>1</v>
      </c>
      <c r="L623">
        <v>0</v>
      </c>
      <c r="M623">
        <v>82.09</v>
      </c>
    </row>
    <row r="624" spans="1:13">
      <c r="A624" s="1">
        <f>HYPERLINK("https://lsnyc.legalserver.org/matter/dynamic-profile/view/0820368","16-0820368")</f>
        <v>0</v>
      </c>
      <c r="B624" t="s">
        <v>13</v>
      </c>
      <c r="C624" t="s">
        <v>370</v>
      </c>
      <c r="D624" t="s">
        <v>1077</v>
      </c>
      <c r="E624" t="s">
        <v>1460</v>
      </c>
      <c r="F624" t="s">
        <v>2089</v>
      </c>
      <c r="G624">
        <v>10453</v>
      </c>
      <c r="K624">
        <v>1</v>
      </c>
      <c r="L624">
        <v>0</v>
      </c>
      <c r="M624">
        <v>82.09</v>
      </c>
    </row>
    <row r="625" spans="1:13">
      <c r="A625" s="1">
        <f>HYPERLINK("https://lsnyc.legalserver.org/matter/dynamic-profile/view/1844808","17-1844808")</f>
        <v>0</v>
      </c>
      <c r="B625" t="s">
        <v>13</v>
      </c>
      <c r="C625" t="s">
        <v>387</v>
      </c>
      <c r="D625" t="s">
        <v>764</v>
      </c>
      <c r="E625" t="s">
        <v>1793</v>
      </c>
      <c r="F625" t="s">
        <v>2091</v>
      </c>
      <c r="G625">
        <v>11208</v>
      </c>
      <c r="K625">
        <v>2</v>
      </c>
      <c r="L625">
        <v>0</v>
      </c>
      <c r="M625">
        <v>82.09</v>
      </c>
    </row>
    <row r="626" spans="1:13">
      <c r="A626" s="1">
        <f>HYPERLINK("https://lsnyc.legalserver.org/matter/dynamic-profile/view/0820365","16-0820365")</f>
        <v>0</v>
      </c>
      <c r="B626" t="s">
        <v>13</v>
      </c>
      <c r="C626" t="s">
        <v>370</v>
      </c>
      <c r="D626" t="s">
        <v>1077</v>
      </c>
      <c r="E626" t="s">
        <v>1460</v>
      </c>
      <c r="F626" t="s">
        <v>2089</v>
      </c>
      <c r="G626">
        <v>10453</v>
      </c>
      <c r="K626">
        <v>1</v>
      </c>
      <c r="L626">
        <v>0</v>
      </c>
      <c r="M626">
        <v>82.09</v>
      </c>
    </row>
    <row r="627" spans="1:13">
      <c r="A627" s="1">
        <f>HYPERLINK("https://lsnyc.legalserver.org/matter/dynamic-profile/view/1856465","18-1856465")</f>
        <v>0</v>
      </c>
      <c r="B627" t="s">
        <v>13</v>
      </c>
      <c r="C627" t="s">
        <v>387</v>
      </c>
      <c r="D627" t="s">
        <v>764</v>
      </c>
      <c r="E627" t="s">
        <v>1490</v>
      </c>
      <c r="F627" t="s">
        <v>2091</v>
      </c>
      <c r="G627">
        <v>11208</v>
      </c>
      <c r="K627">
        <v>2</v>
      </c>
      <c r="L627">
        <v>0</v>
      </c>
      <c r="M627">
        <v>82.09</v>
      </c>
    </row>
    <row r="628" spans="1:13">
      <c r="A628" s="1">
        <f>HYPERLINK("https://lsnyc.legalserver.org/matter/dynamic-profile/view/1856459","18-1856459")</f>
        <v>0</v>
      </c>
      <c r="B628" t="s">
        <v>13</v>
      </c>
      <c r="C628" t="s">
        <v>387</v>
      </c>
      <c r="D628" t="s">
        <v>764</v>
      </c>
      <c r="E628" t="s">
        <v>1490</v>
      </c>
      <c r="F628" t="s">
        <v>2091</v>
      </c>
      <c r="G628">
        <v>11208</v>
      </c>
      <c r="K628">
        <v>2</v>
      </c>
      <c r="L628">
        <v>0</v>
      </c>
      <c r="M628">
        <v>82.09</v>
      </c>
    </row>
    <row r="629" spans="1:13">
      <c r="A629" s="1">
        <f>HYPERLINK("https://lsnyc.legalserver.org/matter/dynamic-profile/view/1863012","18-1863012")</f>
        <v>0</v>
      </c>
      <c r="B629" t="s">
        <v>13</v>
      </c>
      <c r="C629" t="s">
        <v>45</v>
      </c>
      <c r="D629" t="s">
        <v>731</v>
      </c>
      <c r="E629" t="s">
        <v>1512</v>
      </c>
      <c r="F629" t="s">
        <v>2093</v>
      </c>
      <c r="G629">
        <v>10029</v>
      </c>
      <c r="K629">
        <v>1</v>
      </c>
      <c r="L629">
        <v>0</v>
      </c>
      <c r="M629">
        <v>82.23999999999999</v>
      </c>
    </row>
    <row r="630" spans="1:13">
      <c r="A630" s="1">
        <f>HYPERLINK("https://lsnyc.legalserver.org/matter/dynamic-profile/view/1836386","17-1836386")</f>
        <v>0</v>
      </c>
      <c r="B630" t="s">
        <v>13</v>
      </c>
      <c r="C630" t="s">
        <v>62</v>
      </c>
      <c r="D630" t="s">
        <v>1097</v>
      </c>
      <c r="E630" t="s">
        <v>1794</v>
      </c>
      <c r="F630" t="s">
        <v>2091</v>
      </c>
      <c r="G630">
        <v>11233</v>
      </c>
      <c r="K630">
        <v>3</v>
      </c>
      <c r="L630">
        <v>0</v>
      </c>
      <c r="M630">
        <v>82.27</v>
      </c>
    </row>
    <row r="631" spans="1:13">
      <c r="A631" s="1">
        <f>HYPERLINK("https://lsnyc.legalserver.org/matter/dynamic-profile/view/1837492","17-1837492")</f>
        <v>0</v>
      </c>
      <c r="B631" t="s">
        <v>13</v>
      </c>
      <c r="C631" t="s">
        <v>144</v>
      </c>
      <c r="D631" t="s">
        <v>1098</v>
      </c>
      <c r="E631" t="s">
        <v>1795</v>
      </c>
      <c r="F631" t="s">
        <v>2089</v>
      </c>
      <c r="G631">
        <v>10473</v>
      </c>
      <c r="K631">
        <v>1</v>
      </c>
      <c r="L631">
        <v>0</v>
      </c>
      <c r="M631">
        <v>82.29000000000001</v>
      </c>
    </row>
    <row r="632" spans="1:13">
      <c r="A632" s="1">
        <f>HYPERLINK("https://lsnyc.legalserver.org/matter/dynamic-profile/view/0814653","16-0814653")</f>
        <v>0</v>
      </c>
      <c r="B632" t="s">
        <v>13</v>
      </c>
      <c r="C632" t="s">
        <v>199</v>
      </c>
      <c r="D632" t="s">
        <v>720</v>
      </c>
      <c r="E632" t="s">
        <v>1456</v>
      </c>
      <c r="F632" t="s">
        <v>2090</v>
      </c>
      <c r="G632">
        <v>10304</v>
      </c>
      <c r="K632">
        <v>2</v>
      </c>
      <c r="L632">
        <v>0</v>
      </c>
      <c r="M632">
        <v>82.31999999999999</v>
      </c>
    </row>
    <row r="633" spans="1:13">
      <c r="A633" s="1">
        <f>HYPERLINK("https://lsnyc.legalserver.org/matter/dynamic-profile/view/1867648","18-1867648")</f>
        <v>0</v>
      </c>
      <c r="B633" t="s">
        <v>13</v>
      </c>
      <c r="C633" t="s">
        <v>131</v>
      </c>
      <c r="D633" t="s">
        <v>966</v>
      </c>
      <c r="E633" t="s">
        <v>1796</v>
      </c>
      <c r="F633" t="s">
        <v>2089</v>
      </c>
      <c r="G633">
        <v>10452</v>
      </c>
      <c r="K633">
        <v>3</v>
      </c>
      <c r="L633">
        <v>0</v>
      </c>
      <c r="M633">
        <v>82.34999999999999</v>
      </c>
    </row>
    <row r="634" spans="1:13">
      <c r="A634" s="1">
        <f>HYPERLINK("https://lsnyc.legalserver.org/matter/dynamic-profile/view/1867072","18-1867072")</f>
        <v>0</v>
      </c>
      <c r="B634" t="s">
        <v>13</v>
      </c>
      <c r="C634" t="s">
        <v>388</v>
      </c>
      <c r="D634" t="s">
        <v>1099</v>
      </c>
      <c r="E634" t="s">
        <v>1797</v>
      </c>
      <c r="F634" t="s">
        <v>2091</v>
      </c>
      <c r="G634">
        <v>11230</v>
      </c>
      <c r="K634">
        <v>3</v>
      </c>
      <c r="L634">
        <v>0</v>
      </c>
      <c r="M634">
        <v>82.36</v>
      </c>
    </row>
    <row r="635" spans="1:13">
      <c r="A635" s="1">
        <f>HYPERLINK("https://lsnyc.legalserver.org/matter/dynamic-profile/view/0823988","17-0823988")</f>
        <v>0</v>
      </c>
      <c r="B635" t="s">
        <v>13</v>
      </c>
      <c r="C635" t="s">
        <v>389</v>
      </c>
      <c r="D635" t="s">
        <v>1100</v>
      </c>
      <c r="E635" t="s">
        <v>1473</v>
      </c>
      <c r="F635" t="s">
        <v>2089</v>
      </c>
      <c r="G635">
        <v>10467</v>
      </c>
      <c r="K635">
        <v>2</v>
      </c>
      <c r="L635">
        <v>0</v>
      </c>
      <c r="M635">
        <v>82.40000000000001</v>
      </c>
    </row>
    <row r="636" spans="1:13">
      <c r="A636" s="1">
        <f>HYPERLINK("https://lsnyc.legalserver.org/matter/dynamic-profile/view/1861681","18-1861681")</f>
        <v>0</v>
      </c>
      <c r="B636" t="s">
        <v>13</v>
      </c>
      <c r="C636" t="s">
        <v>390</v>
      </c>
      <c r="D636" t="s">
        <v>1101</v>
      </c>
      <c r="E636" t="s">
        <v>1798</v>
      </c>
      <c r="F636" t="s">
        <v>2089</v>
      </c>
      <c r="G636">
        <v>10452</v>
      </c>
      <c r="K636">
        <v>1</v>
      </c>
      <c r="L636">
        <v>0</v>
      </c>
      <c r="M636">
        <v>82.73</v>
      </c>
    </row>
    <row r="637" spans="1:13">
      <c r="A637" s="1">
        <f>HYPERLINK("https://lsnyc.legalserver.org/matter/dynamic-profile/view/1864490","18-1864490")</f>
        <v>0</v>
      </c>
      <c r="B637" t="s">
        <v>13</v>
      </c>
      <c r="C637" t="s">
        <v>391</v>
      </c>
      <c r="D637" t="s">
        <v>841</v>
      </c>
      <c r="E637" t="s">
        <v>1512</v>
      </c>
      <c r="F637" t="s">
        <v>2093</v>
      </c>
      <c r="G637">
        <v>10029</v>
      </c>
      <c r="K637">
        <v>1</v>
      </c>
      <c r="L637">
        <v>0</v>
      </c>
      <c r="M637">
        <v>82.73</v>
      </c>
    </row>
    <row r="638" spans="1:13">
      <c r="A638" s="1">
        <f>HYPERLINK("https://lsnyc.legalserver.org/matter/dynamic-profile/view/1863942","18-1863942")</f>
        <v>0</v>
      </c>
      <c r="B638" t="s">
        <v>13</v>
      </c>
      <c r="C638" t="s">
        <v>392</v>
      </c>
      <c r="D638" t="s">
        <v>743</v>
      </c>
      <c r="E638" t="s">
        <v>1512</v>
      </c>
      <c r="F638" t="s">
        <v>2093</v>
      </c>
      <c r="G638">
        <v>10029</v>
      </c>
      <c r="K638">
        <v>2</v>
      </c>
      <c r="L638">
        <v>0</v>
      </c>
      <c r="M638">
        <v>82.81999999999999</v>
      </c>
    </row>
    <row r="639" spans="1:13">
      <c r="A639" s="1">
        <f>HYPERLINK("https://lsnyc.legalserver.org/matter/dynamic-profile/view/0820933","16-0820933")</f>
        <v>0</v>
      </c>
      <c r="B639" t="s">
        <v>13</v>
      </c>
      <c r="C639" t="s">
        <v>393</v>
      </c>
      <c r="D639" t="s">
        <v>1102</v>
      </c>
      <c r="E639" t="s">
        <v>1440</v>
      </c>
      <c r="F639" t="s">
        <v>2091</v>
      </c>
      <c r="G639">
        <v>11213</v>
      </c>
      <c r="K639">
        <v>1</v>
      </c>
      <c r="L639">
        <v>0</v>
      </c>
      <c r="M639">
        <v>82.83</v>
      </c>
    </row>
    <row r="640" spans="1:13">
      <c r="A640" s="1">
        <f>HYPERLINK("https://lsnyc.legalserver.org/matter/dynamic-profile/view/0824262","17-0824262")</f>
        <v>0</v>
      </c>
      <c r="B640" t="s">
        <v>13</v>
      </c>
      <c r="C640" t="s">
        <v>394</v>
      </c>
      <c r="D640" t="s">
        <v>1103</v>
      </c>
      <c r="E640" t="s">
        <v>1799</v>
      </c>
      <c r="F640" t="s">
        <v>2092</v>
      </c>
      <c r="G640">
        <v>11354</v>
      </c>
      <c r="K640">
        <v>1</v>
      </c>
      <c r="L640">
        <v>0</v>
      </c>
      <c r="M640">
        <v>82.83</v>
      </c>
    </row>
    <row r="641" spans="1:13">
      <c r="A641" s="1">
        <f>HYPERLINK("https://lsnyc.legalserver.org/matter/dynamic-profile/view/0812950","16-0812950")</f>
        <v>0</v>
      </c>
      <c r="B641" t="s">
        <v>13</v>
      </c>
      <c r="C641" t="s">
        <v>395</v>
      </c>
      <c r="D641" t="s">
        <v>1104</v>
      </c>
      <c r="E641" t="s">
        <v>1800</v>
      </c>
      <c r="F641" t="s">
        <v>2089</v>
      </c>
      <c r="G641">
        <v>10453</v>
      </c>
      <c r="K641">
        <v>1</v>
      </c>
      <c r="L641">
        <v>0</v>
      </c>
      <c r="M641">
        <v>82.83</v>
      </c>
    </row>
    <row r="642" spans="1:13">
      <c r="A642" s="1">
        <f>HYPERLINK("https://lsnyc.legalserver.org/matter/dynamic-profile/view/0818079","16-0818079")</f>
        <v>0</v>
      </c>
      <c r="B642" t="s">
        <v>13</v>
      </c>
      <c r="C642" t="s">
        <v>95</v>
      </c>
      <c r="D642" t="s">
        <v>797</v>
      </c>
      <c r="E642" t="s">
        <v>1453</v>
      </c>
      <c r="F642" t="s">
        <v>2089</v>
      </c>
      <c r="G642">
        <v>10452</v>
      </c>
      <c r="K642">
        <v>1</v>
      </c>
      <c r="L642">
        <v>0</v>
      </c>
      <c r="M642">
        <v>82.83</v>
      </c>
    </row>
    <row r="643" spans="1:13">
      <c r="A643" s="1">
        <f>HYPERLINK("https://lsnyc.legalserver.org/matter/dynamic-profile/view/0824327","17-0824327")</f>
        <v>0</v>
      </c>
      <c r="B643" t="s">
        <v>13</v>
      </c>
      <c r="C643" t="s">
        <v>382</v>
      </c>
      <c r="D643" t="s">
        <v>1105</v>
      </c>
      <c r="E643" t="s">
        <v>1555</v>
      </c>
      <c r="F643" t="s">
        <v>2093</v>
      </c>
      <c r="G643">
        <v>10040</v>
      </c>
      <c r="K643">
        <v>1</v>
      </c>
      <c r="L643">
        <v>0</v>
      </c>
      <c r="M643">
        <v>82.83</v>
      </c>
    </row>
    <row r="644" spans="1:13">
      <c r="A644" s="1">
        <f>HYPERLINK("https://lsnyc.legalserver.org/matter/dynamic-profile/view/0799941","16-0799941")</f>
        <v>0</v>
      </c>
      <c r="B644" t="s">
        <v>13</v>
      </c>
      <c r="C644" t="s">
        <v>365</v>
      </c>
      <c r="D644" t="s">
        <v>731</v>
      </c>
      <c r="E644" t="s">
        <v>1773</v>
      </c>
      <c r="F644" t="s">
        <v>2091</v>
      </c>
      <c r="G644">
        <v>11215</v>
      </c>
      <c r="K644">
        <v>1</v>
      </c>
      <c r="L644">
        <v>0</v>
      </c>
      <c r="M644">
        <v>82.83</v>
      </c>
    </row>
    <row r="645" spans="1:13">
      <c r="A645" s="1">
        <f>HYPERLINK("https://lsnyc.legalserver.org/matter/dynamic-profile/view/1851038","17-1851038")</f>
        <v>0</v>
      </c>
      <c r="B645" t="s">
        <v>13</v>
      </c>
      <c r="C645" t="s">
        <v>396</v>
      </c>
      <c r="D645" t="s">
        <v>1106</v>
      </c>
      <c r="E645" t="s">
        <v>1772</v>
      </c>
      <c r="F645" t="s">
        <v>2093</v>
      </c>
      <c r="G645">
        <v>10034</v>
      </c>
      <c r="K645">
        <v>1</v>
      </c>
      <c r="L645">
        <v>0</v>
      </c>
      <c r="M645">
        <v>82.86</v>
      </c>
    </row>
    <row r="646" spans="1:13">
      <c r="A646" s="1">
        <f>HYPERLINK("https://lsnyc.legalserver.org/matter/dynamic-profile/view/1857092","18-1857092")</f>
        <v>0</v>
      </c>
      <c r="B646" t="s">
        <v>13</v>
      </c>
      <c r="C646" t="s">
        <v>289</v>
      </c>
      <c r="D646" t="s">
        <v>765</v>
      </c>
      <c r="E646" t="s">
        <v>1470</v>
      </c>
      <c r="F646" t="s">
        <v>2089</v>
      </c>
      <c r="G646">
        <v>10452</v>
      </c>
      <c r="K646">
        <v>1</v>
      </c>
      <c r="L646">
        <v>0</v>
      </c>
      <c r="M646">
        <v>82.89</v>
      </c>
    </row>
    <row r="647" spans="1:13">
      <c r="A647" s="1">
        <f>HYPERLINK("https://lsnyc.legalserver.org/matter/dynamic-profile/view/1833547","17-1833547")</f>
        <v>0</v>
      </c>
      <c r="B647" t="s">
        <v>13</v>
      </c>
      <c r="C647" t="s">
        <v>397</v>
      </c>
      <c r="D647" t="s">
        <v>1107</v>
      </c>
      <c r="E647" t="s">
        <v>1801</v>
      </c>
      <c r="F647" t="s">
        <v>2091</v>
      </c>
      <c r="G647">
        <v>11220</v>
      </c>
      <c r="K647">
        <v>1</v>
      </c>
      <c r="L647">
        <v>0</v>
      </c>
      <c r="M647">
        <v>82.92</v>
      </c>
    </row>
    <row r="648" spans="1:13">
      <c r="A648" s="1">
        <f>HYPERLINK("https://lsnyc.legalserver.org/matter/dynamic-profile/view/1858041","18-1858041")</f>
        <v>0</v>
      </c>
      <c r="B648" t="s">
        <v>13</v>
      </c>
      <c r="C648" t="s">
        <v>357</v>
      </c>
      <c r="D648" t="s">
        <v>1108</v>
      </c>
      <c r="E648" t="s">
        <v>1802</v>
      </c>
      <c r="F648" t="s">
        <v>2089</v>
      </c>
      <c r="G648">
        <v>10463</v>
      </c>
      <c r="K648">
        <v>1</v>
      </c>
      <c r="L648">
        <v>0</v>
      </c>
      <c r="M648">
        <v>82.98999999999999</v>
      </c>
    </row>
    <row r="649" spans="1:13">
      <c r="A649" s="1">
        <f>HYPERLINK("https://lsnyc.legalserver.org/matter/dynamic-profile/view/1869807","18-1869807")</f>
        <v>0</v>
      </c>
      <c r="B649" t="s">
        <v>13</v>
      </c>
      <c r="C649" t="s">
        <v>398</v>
      </c>
      <c r="D649" t="s">
        <v>774</v>
      </c>
      <c r="E649" t="s">
        <v>1803</v>
      </c>
      <c r="F649" t="s">
        <v>2089</v>
      </c>
      <c r="G649">
        <v>10453</v>
      </c>
      <c r="K649">
        <v>1</v>
      </c>
      <c r="L649">
        <v>0</v>
      </c>
      <c r="M649">
        <v>83.03</v>
      </c>
    </row>
    <row r="650" spans="1:13">
      <c r="A650" s="1">
        <f>HYPERLINK("https://lsnyc.legalserver.org/matter/dynamic-profile/view/1870539","18-1870539")</f>
        <v>0</v>
      </c>
      <c r="B650" t="s">
        <v>13</v>
      </c>
      <c r="C650" t="s">
        <v>293</v>
      </c>
      <c r="D650" t="s">
        <v>1031</v>
      </c>
      <c r="E650" t="s">
        <v>1804</v>
      </c>
      <c r="F650" t="s">
        <v>2089</v>
      </c>
      <c r="G650">
        <v>10456</v>
      </c>
      <c r="K650">
        <v>1</v>
      </c>
      <c r="L650">
        <v>0</v>
      </c>
      <c r="M650">
        <v>83.03</v>
      </c>
    </row>
    <row r="651" spans="1:13">
      <c r="A651" s="1">
        <f>HYPERLINK("https://lsnyc.legalserver.org/matter/dynamic-profile/view/0826279","17-0826279")</f>
        <v>0</v>
      </c>
      <c r="B651" t="s">
        <v>13</v>
      </c>
      <c r="C651" t="s">
        <v>399</v>
      </c>
      <c r="D651" t="s">
        <v>893</v>
      </c>
      <c r="E651" t="s">
        <v>1555</v>
      </c>
      <c r="F651" t="s">
        <v>2093</v>
      </c>
      <c r="G651">
        <v>10040</v>
      </c>
      <c r="K651">
        <v>1</v>
      </c>
      <c r="L651">
        <v>0</v>
      </c>
      <c r="M651">
        <v>83.03</v>
      </c>
    </row>
    <row r="652" spans="1:13">
      <c r="A652" s="1">
        <f>HYPERLINK("https://lsnyc.legalserver.org/matter/dynamic-profile/view/1866155","18-1866155")</f>
        <v>0</v>
      </c>
      <c r="B652" t="s">
        <v>13</v>
      </c>
      <c r="C652" t="s">
        <v>400</v>
      </c>
      <c r="D652" t="s">
        <v>1109</v>
      </c>
      <c r="E652" t="s">
        <v>1805</v>
      </c>
      <c r="F652" t="s">
        <v>2091</v>
      </c>
      <c r="G652">
        <v>11212</v>
      </c>
      <c r="K652">
        <v>1</v>
      </c>
      <c r="L652">
        <v>0</v>
      </c>
      <c r="M652">
        <v>83.03</v>
      </c>
    </row>
    <row r="653" spans="1:13">
      <c r="A653" s="1">
        <f>HYPERLINK("https://lsnyc.legalserver.org/matter/dynamic-profile/view/0814746","16-0814746")</f>
        <v>0</v>
      </c>
      <c r="B653" t="s">
        <v>13</v>
      </c>
      <c r="C653" t="s">
        <v>401</v>
      </c>
      <c r="D653" t="s">
        <v>1110</v>
      </c>
      <c r="E653" t="s">
        <v>1806</v>
      </c>
      <c r="F653" t="s">
        <v>2093</v>
      </c>
      <c r="G653">
        <v>10029</v>
      </c>
      <c r="K653">
        <v>1</v>
      </c>
      <c r="L653">
        <v>0</v>
      </c>
      <c r="M653">
        <v>83.03</v>
      </c>
    </row>
    <row r="654" spans="1:13">
      <c r="A654" s="1">
        <f>HYPERLINK("https://lsnyc.legalserver.org/matter/dynamic-profile/view/1871111","18-1871111")</f>
        <v>0</v>
      </c>
      <c r="B654" t="s">
        <v>13</v>
      </c>
      <c r="C654" t="s">
        <v>402</v>
      </c>
      <c r="D654" t="s">
        <v>1111</v>
      </c>
      <c r="E654" t="s">
        <v>1456</v>
      </c>
      <c r="F654" t="s">
        <v>2090</v>
      </c>
      <c r="G654">
        <v>10304</v>
      </c>
      <c r="K654">
        <v>1</v>
      </c>
      <c r="L654">
        <v>0</v>
      </c>
      <c r="M654">
        <v>83.03</v>
      </c>
    </row>
    <row r="655" spans="1:13">
      <c r="A655" s="1">
        <f>HYPERLINK("https://lsnyc.legalserver.org/matter/dynamic-profile/view/1860668","18-1860668")</f>
        <v>0</v>
      </c>
      <c r="B655" t="s">
        <v>13</v>
      </c>
      <c r="C655" t="s">
        <v>101</v>
      </c>
      <c r="D655" t="s">
        <v>1112</v>
      </c>
      <c r="E655" t="s">
        <v>1721</v>
      </c>
      <c r="F655" t="s">
        <v>2089</v>
      </c>
      <c r="G655">
        <v>10452</v>
      </c>
      <c r="K655">
        <v>1</v>
      </c>
      <c r="L655">
        <v>0</v>
      </c>
      <c r="M655">
        <v>83.03</v>
      </c>
    </row>
    <row r="656" spans="1:13">
      <c r="A656" s="1">
        <f>HYPERLINK("https://lsnyc.legalserver.org/matter/dynamic-profile/view/1850746","17-1850746")</f>
        <v>0</v>
      </c>
      <c r="B656" t="s">
        <v>13</v>
      </c>
      <c r="C656" t="s">
        <v>144</v>
      </c>
      <c r="D656" t="s">
        <v>1113</v>
      </c>
      <c r="E656" t="s">
        <v>1807</v>
      </c>
      <c r="F656" t="s">
        <v>2090</v>
      </c>
      <c r="G656">
        <v>10304</v>
      </c>
      <c r="K656">
        <v>1</v>
      </c>
      <c r="L656">
        <v>0</v>
      </c>
      <c r="M656">
        <v>83.08</v>
      </c>
    </row>
    <row r="657" spans="1:13">
      <c r="A657" s="1">
        <f>HYPERLINK("https://lsnyc.legalserver.org/matter/dynamic-profile/view/1857894","18-1857894")</f>
        <v>0</v>
      </c>
      <c r="B657" t="s">
        <v>13</v>
      </c>
      <c r="C657" t="s">
        <v>403</v>
      </c>
      <c r="D657" t="s">
        <v>756</v>
      </c>
      <c r="E657" t="s">
        <v>1808</v>
      </c>
      <c r="F657" t="s">
        <v>2093</v>
      </c>
      <c r="G657">
        <v>10040</v>
      </c>
      <c r="K657">
        <v>1</v>
      </c>
      <c r="L657">
        <v>0</v>
      </c>
      <c r="M657">
        <v>83.08</v>
      </c>
    </row>
    <row r="658" spans="1:13">
      <c r="A658" s="1">
        <f>HYPERLINK("https://lsnyc.legalserver.org/matter/dynamic-profile/view/1850151","17-1850151")</f>
        <v>0</v>
      </c>
      <c r="B658" t="s">
        <v>13</v>
      </c>
      <c r="C658" t="s">
        <v>144</v>
      </c>
      <c r="D658" t="s">
        <v>1113</v>
      </c>
      <c r="E658" t="s">
        <v>1807</v>
      </c>
      <c r="F658" t="s">
        <v>2090</v>
      </c>
      <c r="G658">
        <v>10304</v>
      </c>
      <c r="K658">
        <v>1</v>
      </c>
      <c r="L658">
        <v>0</v>
      </c>
      <c r="M658">
        <v>83.08</v>
      </c>
    </row>
    <row r="659" spans="1:13">
      <c r="A659" s="1">
        <f>HYPERLINK("https://lsnyc.legalserver.org/matter/dynamic-profile/view/1836035","17-1836035")</f>
        <v>0</v>
      </c>
      <c r="B659" t="s">
        <v>13</v>
      </c>
      <c r="C659" t="s">
        <v>403</v>
      </c>
      <c r="D659" t="s">
        <v>756</v>
      </c>
      <c r="E659" t="s">
        <v>1808</v>
      </c>
      <c r="F659" t="s">
        <v>2093</v>
      </c>
      <c r="G659">
        <v>10040</v>
      </c>
      <c r="K659">
        <v>1</v>
      </c>
      <c r="L659">
        <v>0</v>
      </c>
      <c r="M659">
        <v>83.08</v>
      </c>
    </row>
    <row r="660" spans="1:13">
      <c r="A660" s="1">
        <f>HYPERLINK("https://lsnyc.legalserver.org/matter/dynamic-profile/view/1866503","18-1866503")</f>
        <v>0</v>
      </c>
      <c r="B660" t="s">
        <v>13</v>
      </c>
      <c r="C660" t="s">
        <v>404</v>
      </c>
      <c r="D660" t="s">
        <v>1114</v>
      </c>
      <c r="E660" t="s">
        <v>1457</v>
      </c>
      <c r="F660" t="s">
        <v>2089</v>
      </c>
      <c r="G660">
        <v>10453</v>
      </c>
      <c r="K660">
        <v>1</v>
      </c>
      <c r="L660">
        <v>0</v>
      </c>
      <c r="M660">
        <v>83.23</v>
      </c>
    </row>
    <row r="661" spans="1:13">
      <c r="A661" s="1">
        <f>HYPERLINK("https://lsnyc.legalserver.org/matter/dynamic-profile/view/1866407","18-1866407")</f>
        <v>0</v>
      </c>
      <c r="B661" t="s">
        <v>13</v>
      </c>
      <c r="C661" t="s">
        <v>404</v>
      </c>
      <c r="D661" t="s">
        <v>1114</v>
      </c>
      <c r="E661" t="s">
        <v>1457</v>
      </c>
      <c r="F661" t="s">
        <v>2089</v>
      </c>
      <c r="G661">
        <v>10453</v>
      </c>
      <c r="K661">
        <v>1</v>
      </c>
      <c r="L661">
        <v>0</v>
      </c>
      <c r="M661">
        <v>83.23</v>
      </c>
    </row>
    <row r="662" spans="1:13">
      <c r="A662" s="1">
        <f>HYPERLINK("https://lsnyc.legalserver.org/matter/dynamic-profile/view/1863014","18-1863014")</f>
        <v>0</v>
      </c>
      <c r="B662" t="s">
        <v>13</v>
      </c>
      <c r="C662" t="s">
        <v>226</v>
      </c>
      <c r="D662" t="s">
        <v>1115</v>
      </c>
      <c r="E662" t="s">
        <v>1688</v>
      </c>
      <c r="F662" t="s">
        <v>2093</v>
      </c>
      <c r="G662">
        <v>10034</v>
      </c>
      <c r="K662">
        <v>1</v>
      </c>
      <c r="L662">
        <v>0</v>
      </c>
      <c r="M662">
        <v>83.23</v>
      </c>
    </row>
    <row r="663" spans="1:13">
      <c r="A663" s="1">
        <f>HYPERLINK("https://lsnyc.legalserver.org/matter/dynamic-profile/view/0826209","17-0826209")</f>
        <v>0</v>
      </c>
      <c r="B663" t="s">
        <v>13</v>
      </c>
      <c r="C663" t="s">
        <v>405</v>
      </c>
      <c r="D663" t="s">
        <v>1116</v>
      </c>
      <c r="E663" t="s">
        <v>1735</v>
      </c>
      <c r="F663" t="s">
        <v>2089</v>
      </c>
      <c r="G663">
        <v>10452</v>
      </c>
      <c r="K663">
        <v>3</v>
      </c>
      <c r="L663">
        <v>0</v>
      </c>
      <c r="M663">
        <v>83.31</v>
      </c>
    </row>
    <row r="664" spans="1:13">
      <c r="A664" s="1">
        <f>HYPERLINK("https://lsnyc.legalserver.org/matter/dynamic-profile/view/1851997","17-1851997")</f>
        <v>0</v>
      </c>
      <c r="B664" t="s">
        <v>13</v>
      </c>
      <c r="C664" t="s">
        <v>406</v>
      </c>
      <c r="D664" t="s">
        <v>1117</v>
      </c>
      <c r="E664" t="s">
        <v>1809</v>
      </c>
      <c r="F664" t="s">
        <v>2093</v>
      </c>
      <c r="G664">
        <v>10034</v>
      </c>
      <c r="K664">
        <v>1</v>
      </c>
      <c r="L664">
        <v>0</v>
      </c>
      <c r="M664">
        <v>83.38</v>
      </c>
    </row>
    <row r="665" spans="1:13">
      <c r="A665" s="1">
        <f>HYPERLINK("https://lsnyc.legalserver.org/matter/dynamic-profile/view/1861188","18-1861188")</f>
        <v>0</v>
      </c>
      <c r="B665" t="s">
        <v>13</v>
      </c>
      <c r="C665" t="s">
        <v>407</v>
      </c>
      <c r="D665" t="s">
        <v>1118</v>
      </c>
      <c r="E665" t="s">
        <v>1810</v>
      </c>
      <c r="F665" t="s">
        <v>2091</v>
      </c>
      <c r="G665">
        <v>11212</v>
      </c>
      <c r="K665">
        <v>1</v>
      </c>
      <c r="L665">
        <v>0</v>
      </c>
      <c r="M665">
        <v>83.53</v>
      </c>
    </row>
    <row r="666" spans="1:13">
      <c r="A666" s="1">
        <f>HYPERLINK("https://lsnyc.legalserver.org/matter/dynamic-profile/view/0828133","17-0828133")</f>
        <v>0</v>
      </c>
      <c r="B666" t="s">
        <v>13</v>
      </c>
      <c r="C666" t="s">
        <v>408</v>
      </c>
      <c r="D666" t="s">
        <v>1119</v>
      </c>
      <c r="E666" t="s">
        <v>1811</v>
      </c>
      <c r="F666" t="s">
        <v>2093</v>
      </c>
      <c r="G666">
        <v>10034</v>
      </c>
      <c r="K666">
        <v>1</v>
      </c>
      <c r="L666">
        <v>0</v>
      </c>
      <c r="M666">
        <v>83.58</v>
      </c>
    </row>
    <row r="667" spans="1:13">
      <c r="A667" s="1">
        <f>HYPERLINK("https://lsnyc.legalserver.org/matter/dynamic-profile/view/1856069","18-1856069")</f>
        <v>0</v>
      </c>
      <c r="B667" t="s">
        <v>13</v>
      </c>
      <c r="C667" t="s">
        <v>409</v>
      </c>
      <c r="D667" t="s">
        <v>1013</v>
      </c>
      <c r="E667" t="s">
        <v>1609</v>
      </c>
      <c r="F667" t="s">
        <v>2093</v>
      </c>
      <c r="G667">
        <v>10034</v>
      </c>
      <c r="K667">
        <v>1</v>
      </c>
      <c r="L667">
        <v>0</v>
      </c>
      <c r="M667">
        <v>83.58</v>
      </c>
    </row>
    <row r="668" spans="1:13">
      <c r="A668" s="1">
        <f>HYPERLINK("https://lsnyc.legalserver.org/matter/dynamic-profile/view/1860031","18-1860031")</f>
        <v>0</v>
      </c>
      <c r="B668" t="s">
        <v>13</v>
      </c>
      <c r="C668" t="s">
        <v>398</v>
      </c>
      <c r="D668" t="s">
        <v>774</v>
      </c>
      <c r="E668" t="s">
        <v>1803</v>
      </c>
      <c r="F668" t="s">
        <v>2089</v>
      </c>
      <c r="G668">
        <v>10453</v>
      </c>
      <c r="K668">
        <v>1</v>
      </c>
      <c r="L668">
        <v>0</v>
      </c>
      <c r="M668">
        <v>83.58</v>
      </c>
    </row>
    <row r="669" spans="1:13">
      <c r="A669" s="1">
        <f>HYPERLINK("https://lsnyc.legalserver.org/matter/dynamic-profile/view/1855627","18-1855627")</f>
        <v>0</v>
      </c>
      <c r="B669" t="s">
        <v>13</v>
      </c>
      <c r="C669" t="s">
        <v>106</v>
      </c>
      <c r="D669" t="s">
        <v>867</v>
      </c>
      <c r="E669" t="s">
        <v>1812</v>
      </c>
      <c r="F669" t="s">
        <v>2095</v>
      </c>
      <c r="G669">
        <v>11691</v>
      </c>
      <c r="K669">
        <v>1</v>
      </c>
      <c r="L669">
        <v>0</v>
      </c>
      <c r="M669">
        <v>83.58</v>
      </c>
    </row>
    <row r="670" spans="1:13">
      <c r="A670" s="1">
        <f>HYPERLINK("https://lsnyc.legalserver.org/matter/dynamic-profile/view/1858371","18-1858371")</f>
        <v>0</v>
      </c>
      <c r="B670" t="s">
        <v>13</v>
      </c>
      <c r="C670" t="s">
        <v>237</v>
      </c>
      <c r="D670" t="s">
        <v>1120</v>
      </c>
      <c r="E670" t="s">
        <v>1813</v>
      </c>
      <c r="F670" t="s">
        <v>2093</v>
      </c>
      <c r="G670">
        <v>10035</v>
      </c>
      <c r="K670">
        <v>1</v>
      </c>
      <c r="L670">
        <v>0</v>
      </c>
      <c r="M670">
        <v>83.58</v>
      </c>
    </row>
    <row r="671" spans="1:13">
      <c r="A671" s="1">
        <f>HYPERLINK("https://lsnyc.legalserver.org/matter/dynamic-profile/view/1847859","17-1847859")</f>
        <v>0</v>
      </c>
      <c r="B671" t="s">
        <v>13</v>
      </c>
      <c r="C671" t="s">
        <v>410</v>
      </c>
      <c r="D671" t="s">
        <v>1121</v>
      </c>
      <c r="E671" t="s">
        <v>1814</v>
      </c>
      <c r="F671" t="s">
        <v>2108</v>
      </c>
      <c r="G671">
        <v>11375</v>
      </c>
      <c r="K671">
        <v>1</v>
      </c>
      <c r="L671">
        <v>0</v>
      </c>
      <c r="M671">
        <v>83.58</v>
      </c>
    </row>
    <row r="672" spans="1:13">
      <c r="A672" s="1">
        <f>HYPERLINK("https://lsnyc.legalserver.org/matter/dynamic-profile/view/0830250","17-0830250")</f>
        <v>0</v>
      </c>
      <c r="B672" t="s">
        <v>13</v>
      </c>
      <c r="C672" t="s">
        <v>395</v>
      </c>
      <c r="D672" t="s">
        <v>1122</v>
      </c>
      <c r="E672" t="s">
        <v>1815</v>
      </c>
      <c r="F672" t="s">
        <v>2093</v>
      </c>
      <c r="G672">
        <v>10035</v>
      </c>
      <c r="K672">
        <v>4</v>
      </c>
      <c r="L672">
        <v>0</v>
      </c>
      <c r="M672">
        <v>83.62</v>
      </c>
    </row>
    <row r="673" spans="1:13">
      <c r="A673" s="1">
        <f>HYPERLINK("https://lsnyc.legalserver.org/matter/dynamic-profile/view/0832472","17-0832472")</f>
        <v>0</v>
      </c>
      <c r="B673" t="s">
        <v>13</v>
      </c>
      <c r="C673" t="s">
        <v>395</v>
      </c>
      <c r="D673" t="s">
        <v>1122</v>
      </c>
      <c r="E673" t="s">
        <v>1815</v>
      </c>
      <c r="F673" t="s">
        <v>2093</v>
      </c>
      <c r="G673">
        <v>10035</v>
      </c>
      <c r="K673">
        <v>4</v>
      </c>
      <c r="L673">
        <v>0</v>
      </c>
      <c r="M673">
        <v>83.62</v>
      </c>
    </row>
    <row r="674" spans="1:13">
      <c r="A674" s="1">
        <f>HYPERLINK("https://lsnyc.legalserver.org/matter/dynamic-profile/view/0830374","17-0830374")</f>
        <v>0</v>
      </c>
      <c r="B674" t="s">
        <v>13</v>
      </c>
      <c r="C674" t="s">
        <v>88</v>
      </c>
      <c r="D674" t="s">
        <v>1123</v>
      </c>
      <c r="E674" t="s">
        <v>1521</v>
      </c>
      <c r="F674" t="s">
        <v>2089</v>
      </c>
      <c r="G674">
        <v>10463</v>
      </c>
      <c r="K674">
        <v>1</v>
      </c>
      <c r="L674">
        <v>0</v>
      </c>
      <c r="M674">
        <v>83.78</v>
      </c>
    </row>
    <row r="675" spans="1:13">
      <c r="A675" s="1">
        <f>HYPERLINK("https://lsnyc.legalserver.org/matter/dynamic-profile/view/1861672","18-1861672")</f>
        <v>0</v>
      </c>
      <c r="B675" t="s">
        <v>13</v>
      </c>
      <c r="C675" t="s">
        <v>108</v>
      </c>
      <c r="D675" t="s">
        <v>1124</v>
      </c>
      <c r="E675" t="s">
        <v>1816</v>
      </c>
      <c r="F675" t="s">
        <v>2093</v>
      </c>
      <c r="G675">
        <v>10033</v>
      </c>
      <c r="K675">
        <v>1</v>
      </c>
      <c r="L675">
        <v>0</v>
      </c>
      <c r="M675">
        <v>84.02</v>
      </c>
    </row>
    <row r="676" spans="1:13">
      <c r="A676" s="1">
        <f>HYPERLINK("https://lsnyc.legalserver.org/matter/dynamic-profile/view/1865953","18-1865953")</f>
        <v>0</v>
      </c>
      <c r="B676" t="s">
        <v>13</v>
      </c>
      <c r="C676" t="s">
        <v>411</v>
      </c>
      <c r="D676" t="s">
        <v>1125</v>
      </c>
      <c r="E676" t="s">
        <v>1523</v>
      </c>
      <c r="F676" t="s">
        <v>2093</v>
      </c>
      <c r="G676">
        <v>10034</v>
      </c>
      <c r="K676">
        <v>1</v>
      </c>
      <c r="L676">
        <v>0</v>
      </c>
      <c r="M676">
        <v>84.02</v>
      </c>
    </row>
    <row r="677" spans="1:13">
      <c r="A677" s="1">
        <f>HYPERLINK("https://lsnyc.legalserver.org/matter/dynamic-profile/view/1869852","18-1869852")</f>
        <v>0</v>
      </c>
      <c r="B677" t="s">
        <v>13</v>
      </c>
      <c r="C677" t="s">
        <v>412</v>
      </c>
      <c r="D677" t="s">
        <v>1126</v>
      </c>
      <c r="E677" t="s">
        <v>1817</v>
      </c>
      <c r="F677" t="s">
        <v>2095</v>
      </c>
      <c r="G677">
        <v>11691</v>
      </c>
      <c r="K677">
        <v>1</v>
      </c>
      <c r="L677">
        <v>0</v>
      </c>
      <c r="M677">
        <v>84.02</v>
      </c>
    </row>
    <row r="678" spans="1:13">
      <c r="A678" s="1">
        <f>HYPERLINK("https://lsnyc.legalserver.org/matter/dynamic-profile/view/1863700","18-1863700")</f>
        <v>0</v>
      </c>
      <c r="B678" t="s">
        <v>13</v>
      </c>
      <c r="C678" t="s">
        <v>413</v>
      </c>
      <c r="D678" t="s">
        <v>1018</v>
      </c>
      <c r="E678" t="s">
        <v>1512</v>
      </c>
      <c r="F678" t="s">
        <v>2093</v>
      </c>
      <c r="G678">
        <v>10029</v>
      </c>
      <c r="K678">
        <v>1</v>
      </c>
      <c r="L678">
        <v>0</v>
      </c>
      <c r="M678">
        <v>84.02</v>
      </c>
    </row>
    <row r="679" spans="1:13">
      <c r="A679" s="1">
        <f>HYPERLINK("https://lsnyc.legalserver.org/matter/dynamic-profile/view/1847272","17-1847272")</f>
        <v>0</v>
      </c>
      <c r="B679" t="s">
        <v>13</v>
      </c>
      <c r="C679" t="s">
        <v>414</v>
      </c>
      <c r="D679" t="s">
        <v>998</v>
      </c>
      <c r="E679" t="s">
        <v>1818</v>
      </c>
      <c r="F679" t="s">
        <v>2093</v>
      </c>
      <c r="G679">
        <v>10040</v>
      </c>
      <c r="K679">
        <v>1</v>
      </c>
      <c r="L679">
        <v>0</v>
      </c>
      <c r="M679">
        <v>84.38</v>
      </c>
    </row>
    <row r="680" spans="1:13">
      <c r="A680" s="1">
        <f>HYPERLINK("https://lsnyc.legalserver.org/matter/dynamic-profile/view/0802632","16-0802632")</f>
        <v>0</v>
      </c>
      <c r="B680" t="s">
        <v>13</v>
      </c>
      <c r="C680" t="s">
        <v>179</v>
      </c>
      <c r="D680" t="s">
        <v>1127</v>
      </c>
      <c r="E680" t="s">
        <v>1819</v>
      </c>
      <c r="F680" t="s">
        <v>2089</v>
      </c>
      <c r="G680">
        <v>10452</v>
      </c>
      <c r="K680">
        <v>2</v>
      </c>
      <c r="L680">
        <v>0</v>
      </c>
      <c r="M680">
        <v>84.39</v>
      </c>
    </row>
    <row r="681" spans="1:13">
      <c r="A681" s="1">
        <f>HYPERLINK("https://lsnyc.legalserver.org/matter/dynamic-profile/view/1840724","17-1840724")</f>
        <v>0</v>
      </c>
      <c r="B681" t="s">
        <v>13</v>
      </c>
      <c r="C681" t="s">
        <v>297</v>
      </c>
      <c r="D681" t="s">
        <v>735</v>
      </c>
      <c r="E681" t="s">
        <v>1460</v>
      </c>
      <c r="F681" t="s">
        <v>2089</v>
      </c>
      <c r="G681">
        <v>10453</v>
      </c>
      <c r="K681">
        <v>2</v>
      </c>
      <c r="L681">
        <v>0</v>
      </c>
      <c r="M681">
        <v>84.45999999999999</v>
      </c>
    </row>
    <row r="682" spans="1:13">
      <c r="A682" s="1">
        <f>HYPERLINK("https://lsnyc.legalserver.org/matter/dynamic-profile/view/1842136","17-1842136")</f>
        <v>0</v>
      </c>
      <c r="B682" t="s">
        <v>13</v>
      </c>
      <c r="C682" t="s">
        <v>153</v>
      </c>
      <c r="D682" t="s">
        <v>1128</v>
      </c>
      <c r="E682" t="s">
        <v>1460</v>
      </c>
      <c r="F682" t="s">
        <v>2089</v>
      </c>
      <c r="G682">
        <v>10453</v>
      </c>
      <c r="K682">
        <v>1</v>
      </c>
      <c r="L682">
        <v>0</v>
      </c>
      <c r="M682">
        <v>84.58</v>
      </c>
    </row>
    <row r="683" spans="1:13">
      <c r="A683" s="1">
        <f>HYPERLINK("https://lsnyc.legalserver.org/matter/dynamic-profile/view/0810674","16-0810674")</f>
        <v>0</v>
      </c>
      <c r="B683" t="s">
        <v>13</v>
      </c>
      <c r="C683" t="s">
        <v>415</v>
      </c>
      <c r="D683" t="s">
        <v>778</v>
      </c>
      <c r="E683" t="s">
        <v>1668</v>
      </c>
      <c r="F683" t="s">
        <v>2093</v>
      </c>
      <c r="G683">
        <v>10034</v>
      </c>
      <c r="K683">
        <v>1</v>
      </c>
      <c r="L683">
        <v>0</v>
      </c>
      <c r="M683">
        <v>84.59999999999999</v>
      </c>
    </row>
    <row r="684" spans="1:13">
      <c r="A684" s="1">
        <f>HYPERLINK("https://lsnyc.legalserver.org/matter/dynamic-profile/view/1863069","18-1863069")</f>
        <v>0</v>
      </c>
      <c r="B684" t="s">
        <v>13</v>
      </c>
      <c r="C684" t="s">
        <v>416</v>
      </c>
      <c r="D684" t="s">
        <v>1129</v>
      </c>
      <c r="E684" t="s">
        <v>1688</v>
      </c>
      <c r="F684" t="s">
        <v>2093</v>
      </c>
      <c r="G684">
        <v>10034</v>
      </c>
      <c r="K684">
        <v>1</v>
      </c>
      <c r="L684">
        <v>0</v>
      </c>
      <c r="M684">
        <v>84.70999999999999</v>
      </c>
    </row>
    <row r="685" spans="1:13">
      <c r="A685" s="1">
        <f>HYPERLINK("https://lsnyc.legalserver.org/matter/dynamic-profile/view/1862125","18-1862125")</f>
        <v>0</v>
      </c>
      <c r="B685" t="s">
        <v>13</v>
      </c>
      <c r="C685" t="s">
        <v>77</v>
      </c>
      <c r="D685" t="s">
        <v>1130</v>
      </c>
      <c r="E685" t="s">
        <v>1820</v>
      </c>
      <c r="F685" t="s">
        <v>2090</v>
      </c>
      <c r="G685">
        <v>10305</v>
      </c>
      <c r="K685">
        <v>1</v>
      </c>
      <c r="L685">
        <v>0</v>
      </c>
      <c r="M685">
        <v>84.70999999999999</v>
      </c>
    </row>
    <row r="686" spans="1:13">
      <c r="A686" s="1">
        <f>HYPERLINK("https://lsnyc.legalserver.org/matter/dynamic-profile/view/1871301","18-1871301")</f>
        <v>0</v>
      </c>
      <c r="B686" t="s">
        <v>13</v>
      </c>
      <c r="C686" t="s">
        <v>417</v>
      </c>
      <c r="D686" t="s">
        <v>890</v>
      </c>
      <c r="E686" t="s">
        <v>1821</v>
      </c>
      <c r="F686" t="s">
        <v>2093</v>
      </c>
      <c r="G686">
        <v>10034</v>
      </c>
      <c r="K686">
        <v>1</v>
      </c>
      <c r="L686">
        <v>0</v>
      </c>
      <c r="M686">
        <v>84.70999999999999</v>
      </c>
    </row>
    <row r="687" spans="1:13">
      <c r="A687" s="1">
        <f>HYPERLINK("https://lsnyc.legalserver.org/matter/dynamic-profile/view/1869991","18-1869991")</f>
        <v>0</v>
      </c>
      <c r="B687" t="s">
        <v>13</v>
      </c>
      <c r="C687" t="s">
        <v>418</v>
      </c>
      <c r="D687" t="s">
        <v>1131</v>
      </c>
      <c r="E687" t="s">
        <v>1584</v>
      </c>
      <c r="F687" t="s">
        <v>2091</v>
      </c>
      <c r="G687">
        <v>11206</v>
      </c>
      <c r="K687">
        <v>1</v>
      </c>
      <c r="L687">
        <v>0</v>
      </c>
      <c r="M687">
        <v>84.77</v>
      </c>
    </row>
    <row r="688" spans="1:13">
      <c r="A688" s="1">
        <f>HYPERLINK("https://lsnyc.legalserver.org/matter/dynamic-profile/view/0821975","16-0821975")</f>
        <v>0</v>
      </c>
      <c r="B688" t="s">
        <v>13</v>
      </c>
      <c r="C688" t="s">
        <v>419</v>
      </c>
      <c r="D688" t="s">
        <v>747</v>
      </c>
      <c r="E688" t="s">
        <v>1471</v>
      </c>
      <c r="F688" t="s">
        <v>2089</v>
      </c>
      <c r="G688">
        <v>10452</v>
      </c>
      <c r="K688">
        <v>1</v>
      </c>
      <c r="L688">
        <v>0</v>
      </c>
      <c r="M688">
        <v>84.84999999999999</v>
      </c>
    </row>
    <row r="689" spans="1:13">
      <c r="A689" s="1">
        <f>HYPERLINK("https://lsnyc.legalserver.org/matter/dynamic-profile/view/0821979","16-0821979")</f>
        <v>0</v>
      </c>
      <c r="B689" t="s">
        <v>13</v>
      </c>
      <c r="C689" t="s">
        <v>419</v>
      </c>
      <c r="D689" t="s">
        <v>747</v>
      </c>
      <c r="E689" t="s">
        <v>1471</v>
      </c>
      <c r="F689" t="s">
        <v>2089</v>
      </c>
      <c r="G689">
        <v>10452</v>
      </c>
      <c r="K689">
        <v>1</v>
      </c>
      <c r="L689">
        <v>0</v>
      </c>
      <c r="M689">
        <v>84.84999999999999</v>
      </c>
    </row>
    <row r="690" spans="1:13">
      <c r="A690" s="1">
        <f>HYPERLINK("https://lsnyc.legalserver.org/matter/dynamic-profile/view/0789082","15-0789082")</f>
        <v>0</v>
      </c>
      <c r="B690" t="s">
        <v>13</v>
      </c>
      <c r="C690" t="s">
        <v>289</v>
      </c>
      <c r="D690" t="s">
        <v>765</v>
      </c>
      <c r="E690" t="s">
        <v>1470</v>
      </c>
      <c r="F690" t="s">
        <v>2089</v>
      </c>
      <c r="G690">
        <v>10452</v>
      </c>
      <c r="K690">
        <v>1</v>
      </c>
      <c r="L690">
        <v>0</v>
      </c>
      <c r="M690">
        <v>84.93000000000001</v>
      </c>
    </row>
    <row r="691" spans="1:13">
      <c r="A691" s="1">
        <f>HYPERLINK("https://lsnyc.legalserver.org/matter/dynamic-profile/view/1870815","18-1870815")</f>
        <v>0</v>
      </c>
      <c r="B691" t="s">
        <v>13</v>
      </c>
      <c r="C691" t="s">
        <v>36</v>
      </c>
      <c r="D691" t="s">
        <v>1132</v>
      </c>
      <c r="E691" t="s">
        <v>1822</v>
      </c>
      <c r="F691" t="s">
        <v>2089</v>
      </c>
      <c r="G691">
        <v>10457</v>
      </c>
      <c r="K691">
        <v>1</v>
      </c>
      <c r="L691">
        <v>0</v>
      </c>
      <c r="M691">
        <v>85.11</v>
      </c>
    </row>
    <row r="692" spans="1:13">
      <c r="A692" s="1">
        <f>HYPERLINK("https://lsnyc.legalserver.org/matter/dynamic-profile/view/1841054","17-1841054")</f>
        <v>0</v>
      </c>
      <c r="B692" t="s">
        <v>13</v>
      </c>
      <c r="C692" t="s">
        <v>275</v>
      </c>
      <c r="D692" t="s">
        <v>845</v>
      </c>
      <c r="E692" t="s">
        <v>1464</v>
      </c>
      <c r="F692" t="s">
        <v>2094</v>
      </c>
      <c r="G692">
        <v>11432</v>
      </c>
      <c r="K692">
        <v>4</v>
      </c>
      <c r="L692">
        <v>0</v>
      </c>
      <c r="M692">
        <v>85.12</v>
      </c>
    </row>
    <row r="693" spans="1:13">
      <c r="A693" s="1">
        <f>HYPERLINK("https://lsnyc.legalserver.org/matter/dynamic-profile/view/1856072","18-1856072")</f>
        <v>0</v>
      </c>
      <c r="B693" t="s">
        <v>13</v>
      </c>
      <c r="C693" t="s">
        <v>420</v>
      </c>
      <c r="D693" t="s">
        <v>360</v>
      </c>
      <c r="E693" t="s">
        <v>1609</v>
      </c>
      <c r="F693" t="s">
        <v>2093</v>
      </c>
      <c r="G693">
        <v>10034</v>
      </c>
      <c r="K693">
        <v>1</v>
      </c>
      <c r="L693">
        <v>0</v>
      </c>
      <c r="M693">
        <v>85.13</v>
      </c>
    </row>
    <row r="694" spans="1:13">
      <c r="A694" s="1">
        <f>HYPERLINK("https://lsnyc.legalserver.org/matter/dynamic-profile/view/0822732","16-0822732")</f>
        <v>0</v>
      </c>
      <c r="B694" t="s">
        <v>13</v>
      </c>
      <c r="C694" t="s">
        <v>421</v>
      </c>
      <c r="D694" t="s">
        <v>1133</v>
      </c>
      <c r="E694" t="s">
        <v>1473</v>
      </c>
      <c r="F694" t="s">
        <v>2089</v>
      </c>
      <c r="G694">
        <v>10467</v>
      </c>
      <c r="K694">
        <v>1</v>
      </c>
      <c r="L694">
        <v>0</v>
      </c>
      <c r="M694">
        <v>85.15000000000001</v>
      </c>
    </row>
    <row r="695" spans="1:13">
      <c r="A695" s="1">
        <f>HYPERLINK("https://lsnyc.legalserver.org/matter/dynamic-profile/view/1866217","18-1866217")</f>
        <v>0</v>
      </c>
      <c r="B695" t="s">
        <v>13</v>
      </c>
      <c r="C695" t="s">
        <v>143</v>
      </c>
      <c r="D695" t="s">
        <v>843</v>
      </c>
      <c r="E695" t="s">
        <v>1823</v>
      </c>
      <c r="F695" t="s">
        <v>2089</v>
      </c>
      <c r="G695">
        <v>10467</v>
      </c>
      <c r="K695">
        <v>1</v>
      </c>
      <c r="L695">
        <v>0</v>
      </c>
      <c r="M695">
        <v>85.20999999999999</v>
      </c>
    </row>
    <row r="696" spans="1:13">
      <c r="A696" s="1">
        <f>HYPERLINK("https://lsnyc.legalserver.org/matter/dynamic-profile/view/1858247","18-1858247")</f>
        <v>0</v>
      </c>
      <c r="B696" t="s">
        <v>13</v>
      </c>
      <c r="C696" t="s">
        <v>417</v>
      </c>
      <c r="D696" t="s">
        <v>890</v>
      </c>
      <c r="E696" t="s">
        <v>1821</v>
      </c>
      <c r="F696" t="s">
        <v>2093</v>
      </c>
      <c r="G696">
        <v>10034</v>
      </c>
      <c r="K696">
        <v>1</v>
      </c>
      <c r="L696">
        <v>0</v>
      </c>
      <c r="M696">
        <v>85.27</v>
      </c>
    </row>
    <row r="697" spans="1:13">
      <c r="A697" s="1">
        <f>HYPERLINK("https://lsnyc.legalserver.org/matter/dynamic-profile/view/0827345","17-0827345")</f>
        <v>0</v>
      </c>
      <c r="B697" t="s">
        <v>13</v>
      </c>
      <c r="C697" t="s">
        <v>208</v>
      </c>
      <c r="D697" t="s">
        <v>1134</v>
      </c>
      <c r="E697" t="s">
        <v>1824</v>
      </c>
      <c r="F697" t="s">
        <v>2093</v>
      </c>
      <c r="G697">
        <v>10034</v>
      </c>
      <c r="K697">
        <v>1</v>
      </c>
      <c r="L697">
        <v>0</v>
      </c>
      <c r="M697">
        <v>85.56999999999999</v>
      </c>
    </row>
    <row r="698" spans="1:13">
      <c r="A698" s="1">
        <f>HYPERLINK("https://lsnyc.legalserver.org/matter/dynamic-profile/view/1841757","17-1841757")</f>
        <v>0</v>
      </c>
      <c r="B698" t="s">
        <v>13</v>
      </c>
      <c r="C698" t="s">
        <v>166</v>
      </c>
      <c r="D698" t="s">
        <v>1135</v>
      </c>
      <c r="E698" t="s">
        <v>1825</v>
      </c>
      <c r="F698" t="s">
        <v>2091</v>
      </c>
      <c r="G698">
        <v>11234</v>
      </c>
      <c r="K698">
        <v>1</v>
      </c>
      <c r="L698">
        <v>0</v>
      </c>
      <c r="M698">
        <v>85.56999999999999</v>
      </c>
    </row>
    <row r="699" spans="1:13">
      <c r="A699" s="1">
        <f>HYPERLINK("https://lsnyc.legalserver.org/matter/dynamic-profile/view/0820085","16-0820085")</f>
        <v>0</v>
      </c>
      <c r="B699" t="s">
        <v>13</v>
      </c>
      <c r="C699" t="s">
        <v>297</v>
      </c>
      <c r="D699" t="s">
        <v>735</v>
      </c>
      <c r="E699" t="s">
        <v>1460</v>
      </c>
      <c r="F699" t="s">
        <v>2089</v>
      </c>
      <c r="G699">
        <v>10453</v>
      </c>
      <c r="K699">
        <v>2</v>
      </c>
      <c r="L699">
        <v>0</v>
      </c>
      <c r="M699">
        <v>85.62</v>
      </c>
    </row>
    <row r="700" spans="1:13">
      <c r="A700" s="1">
        <f>HYPERLINK("https://lsnyc.legalserver.org/matter/dynamic-profile/view/0819846","16-0819846")</f>
        <v>0</v>
      </c>
      <c r="B700" t="s">
        <v>13</v>
      </c>
      <c r="C700" t="s">
        <v>297</v>
      </c>
      <c r="D700" t="s">
        <v>735</v>
      </c>
      <c r="E700" t="s">
        <v>1460</v>
      </c>
      <c r="F700" t="s">
        <v>2089</v>
      </c>
      <c r="G700">
        <v>10453</v>
      </c>
      <c r="K700">
        <v>2</v>
      </c>
      <c r="L700">
        <v>0</v>
      </c>
      <c r="M700">
        <v>85.62</v>
      </c>
    </row>
    <row r="701" spans="1:13">
      <c r="A701" s="1">
        <f>HYPERLINK("https://lsnyc.legalserver.org/matter/dynamic-profile/view/0827360","17-0827360")</f>
        <v>0</v>
      </c>
      <c r="B701" t="s">
        <v>13</v>
      </c>
      <c r="C701" t="s">
        <v>72</v>
      </c>
      <c r="D701" t="s">
        <v>1136</v>
      </c>
      <c r="E701" t="s">
        <v>1826</v>
      </c>
      <c r="F701" t="s">
        <v>2090</v>
      </c>
      <c r="G701">
        <v>10301</v>
      </c>
      <c r="K701">
        <v>1</v>
      </c>
      <c r="L701">
        <v>0</v>
      </c>
      <c r="M701">
        <v>85.67</v>
      </c>
    </row>
    <row r="702" spans="1:13">
      <c r="A702" s="1">
        <f>HYPERLINK("https://lsnyc.legalserver.org/matter/dynamic-profile/view/1868544","18-1868544")</f>
        <v>0</v>
      </c>
      <c r="B702" t="s">
        <v>13</v>
      </c>
      <c r="C702" t="s">
        <v>141</v>
      </c>
      <c r="D702" t="s">
        <v>1137</v>
      </c>
      <c r="E702" t="s">
        <v>1827</v>
      </c>
      <c r="F702" t="s">
        <v>2093</v>
      </c>
      <c r="G702">
        <v>10034</v>
      </c>
      <c r="K702">
        <v>1</v>
      </c>
      <c r="L702">
        <v>0</v>
      </c>
      <c r="M702">
        <v>85.67</v>
      </c>
    </row>
    <row r="703" spans="1:13">
      <c r="A703" s="1">
        <f>HYPERLINK("https://lsnyc.legalserver.org/matter/dynamic-profile/view/1865107","18-1865107")</f>
        <v>0</v>
      </c>
      <c r="B703" t="s">
        <v>13</v>
      </c>
      <c r="C703" t="s">
        <v>422</v>
      </c>
      <c r="D703" t="s">
        <v>1138</v>
      </c>
      <c r="E703" t="s">
        <v>1828</v>
      </c>
      <c r="F703" t="s">
        <v>2109</v>
      </c>
      <c r="G703">
        <v>11105</v>
      </c>
      <c r="K703">
        <v>1</v>
      </c>
      <c r="L703">
        <v>0</v>
      </c>
      <c r="M703">
        <v>85.67</v>
      </c>
    </row>
    <row r="704" spans="1:13">
      <c r="A704" s="1">
        <f>HYPERLINK("https://lsnyc.legalserver.org/matter/dynamic-profile/view/0819490","16-0819490")</f>
        <v>0</v>
      </c>
      <c r="B704" t="s">
        <v>13</v>
      </c>
      <c r="C704" t="s">
        <v>153</v>
      </c>
      <c r="D704" t="s">
        <v>1128</v>
      </c>
      <c r="E704" t="s">
        <v>1460</v>
      </c>
      <c r="F704" t="s">
        <v>2089</v>
      </c>
      <c r="G704">
        <v>10453</v>
      </c>
      <c r="K704">
        <v>1</v>
      </c>
      <c r="L704">
        <v>0</v>
      </c>
      <c r="M704">
        <v>85.86</v>
      </c>
    </row>
    <row r="705" spans="1:13">
      <c r="A705" s="1">
        <f>HYPERLINK("https://lsnyc.legalserver.org/matter/dynamic-profile/view/0819500","16-0819500")</f>
        <v>0</v>
      </c>
      <c r="B705" t="s">
        <v>13</v>
      </c>
      <c r="C705" t="s">
        <v>153</v>
      </c>
      <c r="D705" t="s">
        <v>1128</v>
      </c>
      <c r="E705" t="s">
        <v>1460</v>
      </c>
      <c r="F705" t="s">
        <v>2089</v>
      </c>
      <c r="G705">
        <v>10453</v>
      </c>
      <c r="K705">
        <v>1</v>
      </c>
      <c r="L705">
        <v>0</v>
      </c>
      <c r="M705">
        <v>85.86</v>
      </c>
    </row>
    <row r="706" spans="1:13">
      <c r="A706" s="1">
        <f>HYPERLINK("https://lsnyc.legalserver.org/matter/dynamic-profile/view/1870737","18-1870737")</f>
        <v>0</v>
      </c>
      <c r="B706" t="s">
        <v>13</v>
      </c>
      <c r="C706" t="s">
        <v>159</v>
      </c>
      <c r="D706" t="s">
        <v>1139</v>
      </c>
      <c r="E706" t="s">
        <v>1829</v>
      </c>
      <c r="F706" t="s">
        <v>2091</v>
      </c>
      <c r="G706">
        <v>11233</v>
      </c>
      <c r="K706">
        <v>1</v>
      </c>
      <c r="L706">
        <v>0</v>
      </c>
      <c r="M706">
        <v>86</v>
      </c>
    </row>
    <row r="707" spans="1:13">
      <c r="A707" s="1">
        <f>HYPERLINK("https://lsnyc.legalserver.org/matter/dynamic-profile/view/1861395","18-1861395")</f>
        <v>0</v>
      </c>
      <c r="B707" t="s">
        <v>13</v>
      </c>
      <c r="C707" t="s">
        <v>125</v>
      </c>
      <c r="D707" t="s">
        <v>999</v>
      </c>
      <c r="E707" t="s">
        <v>1830</v>
      </c>
      <c r="F707" t="s">
        <v>2095</v>
      </c>
      <c r="G707">
        <v>11691</v>
      </c>
      <c r="K707">
        <v>1</v>
      </c>
      <c r="L707">
        <v>0</v>
      </c>
      <c r="M707">
        <v>86.09999999999999</v>
      </c>
    </row>
    <row r="708" spans="1:13">
      <c r="A708" s="1">
        <f>HYPERLINK("https://lsnyc.legalserver.org/matter/dynamic-profile/view/0822260","16-0822260")</f>
        <v>0</v>
      </c>
      <c r="B708" t="s">
        <v>13</v>
      </c>
      <c r="C708" t="s">
        <v>275</v>
      </c>
      <c r="D708" t="s">
        <v>845</v>
      </c>
      <c r="E708" t="s">
        <v>1464</v>
      </c>
      <c r="F708" t="s">
        <v>2094</v>
      </c>
      <c r="G708">
        <v>11432</v>
      </c>
      <c r="K708">
        <v>4</v>
      </c>
      <c r="L708">
        <v>0</v>
      </c>
      <c r="M708">
        <v>86.17</v>
      </c>
    </row>
    <row r="709" spans="1:13">
      <c r="A709" s="1">
        <f>HYPERLINK("https://lsnyc.legalserver.org/matter/dynamic-profile/view/1844969","17-1844969")</f>
        <v>0</v>
      </c>
      <c r="B709" t="s">
        <v>14</v>
      </c>
      <c r="C709" t="s">
        <v>423</v>
      </c>
      <c r="D709" t="s">
        <v>1140</v>
      </c>
      <c r="E709" t="s">
        <v>1831</v>
      </c>
      <c r="F709" t="s">
        <v>2093</v>
      </c>
      <c r="G709">
        <v>10025</v>
      </c>
      <c r="K709">
        <v>1</v>
      </c>
      <c r="L709">
        <v>0</v>
      </c>
      <c r="M709">
        <v>86.23999999999999</v>
      </c>
    </row>
    <row r="710" spans="1:13">
      <c r="A710" s="1">
        <f>HYPERLINK("https://lsnyc.legalserver.org/matter/dynamic-profile/view/1863696","18-1863696")</f>
        <v>0</v>
      </c>
      <c r="B710" t="s">
        <v>13</v>
      </c>
      <c r="C710" t="s">
        <v>165</v>
      </c>
      <c r="D710" t="s">
        <v>1141</v>
      </c>
      <c r="E710" t="s">
        <v>1832</v>
      </c>
      <c r="F710" t="s">
        <v>2089</v>
      </c>
      <c r="G710">
        <v>10456</v>
      </c>
      <c r="K710">
        <v>2</v>
      </c>
      <c r="L710">
        <v>0</v>
      </c>
      <c r="M710">
        <v>86.76000000000001</v>
      </c>
    </row>
    <row r="711" spans="1:13">
      <c r="A711" s="1">
        <f>HYPERLINK("https://lsnyc.legalserver.org/matter/dynamic-profile/view/0827757","17-0827757")</f>
        <v>0</v>
      </c>
      <c r="B711" t="s">
        <v>13</v>
      </c>
      <c r="C711" t="s">
        <v>424</v>
      </c>
      <c r="D711" t="s">
        <v>1142</v>
      </c>
      <c r="E711" t="s">
        <v>1833</v>
      </c>
      <c r="F711" t="s">
        <v>2091</v>
      </c>
      <c r="G711">
        <v>11225</v>
      </c>
      <c r="K711">
        <v>1</v>
      </c>
      <c r="L711">
        <v>0</v>
      </c>
      <c r="M711">
        <v>86.77</v>
      </c>
    </row>
    <row r="712" spans="1:13">
      <c r="A712" s="1">
        <f>HYPERLINK("https://lsnyc.legalserver.org/matter/dynamic-profile/view/1867970","18-1867970")</f>
        <v>0</v>
      </c>
      <c r="B712" t="s">
        <v>13</v>
      </c>
      <c r="C712" t="s">
        <v>293</v>
      </c>
      <c r="D712" t="s">
        <v>1143</v>
      </c>
      <c r="E712" t="s">
        <v>1834</v>
      </c>
      <c r="F712" t="s">
        <v>2093</v>
      </c>
      <c r="G712">
        <v>10034</v>
      </c>
      <c r="K712">
        <v>1</v>
      </c>
      <c r="L712">
        <v>0</v>
      </c>
      <c r="M712">
        <v>86.83</v>
      </c>
    </row>
    <row r="713" spans="1:13">
      <c r="A713" s="1">
        <f>HYPERLINK("https://lsnyc.legalserver.org/matter/dynamic-profile/view/1867941","18-1867941")</f>
        <v>0</v>
      </c>
      <c r="B713" t="s">
        <v>13</v>
      </c>
      <c r="C713" t="s">
        <v>293</v>
      </c>
      <c r="D713" t="s">
        <v>1143</v>
      </c>
      <c r="E713" t="s">
        <v>1834</v>
      </c>
      <c r="F713" t="s">
        <v>2093</v>
      </c>
      <c r="G713">
        <v>10034</v>
      </c>
      <c r="K713">
        <v>1</v>
      </c>
      <c r="L713">
        <v>0</v>
      </c>
      <c r="M713">
        <v>86.83</v>
      </c>
    </row>
    <row r="714" spans="1:13">
      <c r="A714" s="1">
        <f>HYPERLINK("https://lsnyc.legalserver.org/matter/dynamic-profile/view/1842133","17-1842133")</f>
        <v>0</v>
      </c>
      <c r="B714" t="s">
        <v>13</v>
      </c>
      <c r="C714" t="s">
        <v>40</v>
      </c>
      <c r="D714" t="s">
        <v>739</v>
      </c>
      <c r="E714" t="s">
        <v>1460</v>
      </c>
      <c r="F714" t="s">
        <v>2089</v>
      </c>
      <c r="G714">
        <v>10453</v>
      </c>
      <c r="K714">
        <v>5</v>
      </c>
      <c r="L714">
        <v>0</v>
      </c>
      <c r="M714">
        <v>86.87</v>
      </c>
    </row>
    <row r="715" spans="1:13">
      <c r="A715" s="1">
        <f>HYPERLINK("https://lsnyc.legalserver.org/matter/dynamic-profile/view/1859825","18-1859825")</f>
        <v>0</v>
      </c>
      <c r="B715" t="s">
        <v>14</v>
      </c>
      <c r="C715" t="s">
        <v>148</v>
      </c>
      <c r="D715" t="s">
        <v>836</v>
      </c>
      <c r="E715" t="s">
        <v>1835</v>
      </c>
      <c r="F715" t="s">
        <v>2089</v>
      </c>
      <c r="G715">
        <v>10468</v>
      </c>
      <c r="K715">
        <v>4</v>
      </c>
      <c r="L715">
        <v>0</v>
      </c>
      <c r="M715">
        <v>86.88</v>
      </c>
    </row>
    <row r="716" spans="1:13">
      <c r="A716" s="1">
        <f>HYPERLINK("https://lsnyc.legalserver.org/matter/dynamic-profile/view/0823551","17-0823551")</f>
        <v>0</v>
      </c>
      <c r="B716" t="s">
        <v>13</v>
      </c>
      <c r="C716" t="s">
        <v>72</v>
      </c>
      <c r="D716" t="s">
        <v>1136</v>
      </c>
      <c r="E716" t="s">
        <v>1826</v>
      </c>
      <c r="F716" t="s">
        <v>2090</v>
      </c>
      <c r="G716">
        <v>10301</v>
      </c>
      <c r="K716">
        <v>1</v>
      </c>
      <c r="L716">
        <v>0</v>
      </c>
      <c r="M716">
        <v>86.97</v>
      </c>
    </row>
    <row r="717" spans="1:13">
      <c r="A717" s="1">
        <f>HYPERLINK("https://lsnyc.legalserver.org/matter/dynamic-profile/view/1864524","18-1864524")</f>
        <v>0</v>
      </c>
      <c r="B717" t="s">
        <v>13</v>
      </c>
      <c r="C717" t="s">
        <v>425</v>
      </c>
      <c r="D717" t="s">
        <v>1144</v>
      </c>
      <c r="E717" t="s">
        <v>1836</v>
      </c>
      <c r="F717" t="s">
        <v>2092</v>
      </c>
      <c r="G717">
        <v>11355</v>
      </c>
      <c r="K717">
        <v>2</v>
      </c>
      <c r="L717">
        <v>0</v>
      </c>
      <c r="M717">
        <v>87.01000000000001</v>
      </c>
    </row>
    <row r="718" spans="1:13">
      <c r="A718" s="1">
        <f>HYPERLINK("https://lsnyc.legalserver.org/matter/dynamic-profile/view/1847273","17-1847273")</f>
        <v>0</v>
      </c>
      <c r="B718" t="s">
        <v>13</v>
      </c>
      <c r="C718" t="s">
        <v>141</v>
      </c>
      <c r="D718" t="s">
        <v>1145</v>
      </c>
      <c r="E718" t="s">
        <v>1818</v>
      </c>
      <c r="F718" t="s">
        <v>2093</v>
      </c>
      <c r="G718">
        <v>10040</v>
      </c>
      <c r="K718">
        <v>1</v>
      </c>
      <c r="L718">
        <v>0</v>
      </c>
      <c r="M718">
        <v>87.36</v>
      </c>
    </row>
    <row r="719" spans="1:13">
      <c r="A719" s="1">
        <f>HYPERLINK("https://lsnyc.legalserver.org/matter/dynamic-profile/view/1835837","17-1835837")</f>
        <v>0</v>
      </c>
      <c r="B719" t="s">
        <v>13</v>
      </c>
      <c r="C719" t="s">
        <v>141</v>
      </c>
      <c r="D719" t="s">
        <v>1145</v>
      </c>
      <c r="E719" t="s">
        <v>1818</v>
      </c>
      <c r="F719" t="s">
        <v>2093</v>
      </c>
      <c r="G719">
        <v>10040</v>
      </c>
      <c r="K719">
        <v>1</v>
      </c>
      <c r="L719">
        <v>0</v>
      </c>
      <c r="M719">
        <v>87.36</v>
      </c>
    </row>
    <row r="720" spans="1:13">
      <c r="A720" s="1">
        <f>HYPERLINK("https://lsnyc.legalserver.org/matter/dynamic-profile/view/0818096","16-0818096")</f>
        <v>0</v>
      </c>
      <c r="B720" t="s">
        <v>13</v>
      </c>
      <c r="C720" t="s">
        <v>426</v>
      </c>
      <c r="D720" t="s">
        <v>1146</v>
      </c>
      <c r="E720" t="s">
        <v>1837</v>
      </c>
      <c r="F720" t="s">
        <v>2093</v>
      </c>
      <c r="G720">
        <v>10030</v>
      </c>
      <c r="K720">
        <v>1</v>
      </c>
      <c r="L720">
        <v>0</v>
      </c>
      <c r="M720">
        <v>87.54000000000001</v>
      </c>
    </row>
    <row r="721" spans="1:13">
      <c r="A721" s="1">
        <f>HYPERLINK("https://lsnyc.legalserver.org/matter/dynamic-profile/view/0806096","16-0806096")</f>
        <v>0</v>
      </c>
      <c r="B721" t="s">
        <v>13</v>
      </c>
      <c r="C721" t="s">
        <v>351</v>
      </c>
      <c r="D721" t="s">
        <v>1109</v>
      </c>
      <c r="E721" t="s">
        <v>1536</v>
      </c>
      <c r="F721" t="s">
        <v>2091</v>
      </c>
      <c r="G721">
        <v>11225</v>
      </c>
      <c r="K721">
        <v>1</v>
      </c>
      <c r="L721">
        <v>0</v>
      </c>
      <c r="M721">
        <v>87.54000000000001</v>
      </c>
    </row>
    <row r="722" spans="1:13">
      <c r="A722" s="1">
        <f>HYPERLINK("https://lsnyc.legalserver.org/matter/dynamic-profile/view/0823992","17-0823992")</f>
        <v>0</v>
      </c>
      <c r="B722" t="s">
        <v>13</v>
      </c>
      <c r="C722" t="s">
        <v>351</v>
      </c>
      <c r="D722" t="s">
        <v>1109</v>
      </c>
      <c r="E722" t="s">
        <v>1536</v>
      </c>
      <c r="F722" t="s">
        <v>2091</v>
      </c>
      <c r="G722">
        <v>11225</v>
      </c>
      <c r="K722">
        <v>1</v>
      </c>
      <c r="L722">
        <v>0</v>
      </c>
      <c r="M722">
        <v>87.54000000000001</v>
      </c>
    </row>
    <row r="723" spans="1:13">
      <c r="A723" s="1">
        <f>HYPERLINK("https://lsnyc.legalserver.org/matter/dynamic-profile/view/1840792","17-1840792")</f>
        <v>0</v>
      </c>
      <c r="B723" t="s">
        <v>13</v>
      </c>
      <c r="C723" t="s">
        <v>427</v>
      </c>
      <c r="D723" t="s">
        <v>743</v>
      </c>
      <c r="E723" t="s">
        <v>1838</v>
      </c>
      <c r="F723" t="s">
        <v>2093</v>
      </c>
      <c r="G723">
        <v>10029</v>
      </c>
      <c r="K723">
        <v>1</v>
      </c>
      <c r="L723">
        <v>0</v>
      </c>
      <c r="M723">
        <v>87.56</v>
      </c>
    </row>
    <row r="724" spans="1:13">
      <c r="A724" s="1">
        <f>HYPERLINK("https://lsnyc.legalserver.org/matter/dynamic-profile/view/1845402","17-1845402")</f>
        <v>0</v>
      </c>
      <c r="B724" t="s">
        <v>13</v>
      </c>
      <c r="C724" t="s">
        <v>428</v>
      </c>
      <c r="D724" t="s">
        <v>214</v>
      </c>
      <c r="E724" t="s">
        <v>1839</v>
      </c>
      <c r="F724" t="s">
        <v>2090</v>
      </c>
      <c r="G724">
        <v>10304</v>
      </c>
      <c r="K724">
        <v>3</v>
      </c>
      <c r="L724">
        <v>0</v>
      </c>
      <c r="M724">
        <v>87.68000000000001</v>
      </c>
    </row>
    <row r="725" spans="1:13">
      <c r="A725" s="1">
        <f>HYPERLINK("https://lsnyc.legalserver.org/matter/dynamic-profile/view/1861085","18-1861085")</f>
        <v>0</v>
      </c>
      <c r="B725" t="s">
        <v>13</v>
      </c>
      <c r="C725" t="s">
        <v>429</v>
      </c>
      <c r="D725" t="s">
        <v>825</v>
      </c>
      <c r="E725" t="s">
        <v>1840</v>
      </c>
      <c r="F725" t="s">
        <v>2093</v>
      </c>
      <c r="G725">
        <v>10016</v>
      </c>
      <c r="K725">
        <v>1</v>
      </c>
      <c r="L725">
        <v>0</v>
      </c>
      <c r="M725">
        <v>87.81</v>
      </c>
    </row>
    <row r="726" spans="1:13">
      <c r="A726" s="1">
        <f>HYPERLINK("https://lsnyc.legalserver.org/matter/dynamic-profile/view/1843489","17-1843489")</f>
        <v>0</v>
      </c>
      <c r="B726" t="s">
        <v>13</v>
      </c>
      <c r="C726" t="s">
        <v>371</v>
      </c>
      <c r="D726" t="s">
        <v>1147</v>
      </c>
      <c r="E726" t="s">
        <v>1841</v>
      </c>
      <c r="F726" t="s">
        <v>2093</v>
      </c>
      <c r="G726">
        <v>10031</v>
      </c>
      <c r="K726">
        <v>1</v>
      </c>
      <c r="L726">
        <v>0</v>
      </c>
      <c r="M726">
        <v>88.06</v>
      </c>
    </row>
    <row r="727" spans="1:13">
      <c r="A727" s="1">
        <f>HYPERLINK("https://lsnyc.legalserver.org/matter/dynamic-profile/view/1835508","17-1835508")</f>
        <v>0</v>
      </c>
      <c r="B727" t="s">
        <v>13</v>
      </c>
      <c r="C727" t="s">
        <v>430</v>
      </c>
      <c r="D727" t="s">
        <v>1148</v>
      </c>
      <c r="E727" t="s">
        <v>1842</v>
      </c>
      <c r="F727" t="s">
        <v>2091</v>
      </c>
      <c r="G727">
        <v>11216</v>
      </c>
      <c r="K727">
        <v>1</v>
      </c>
      <c r="L727">
        <v>0</v>
      </c>
      <c r="M727">
        <v>88.36</v>
      </c>
    </row>
    <row r="728" spans="1:13">
      <c r="A728" s="1">
        <f>HYPERLINK("https://lsnyc.legalserver.org/matter/dynamic-profile/view/1841599","17-1841599")</f>
        <v>0</v>
      </c>
      <c r="B728" t="s">
        <v>13</v>
      </c>
      <c r="C728" t="s">
        <v>431</v>
      </c>
      <c r="D728" t="s">
        <v>1149</v>
      </c>
      <c r="E728" t="s">
        <v>1725</v>
      </c>
      <c r="F728" t="s">
        <v>2089</v>
      </c>
      <c r="G728">
        <v>10453</v>
      </c>
      <c r="K728">
        <v>1</v>
      </c>
      <c r="L728">
        <v>0</v>
      </c>
      <c r="M728">
        <v>88.56</v>
      </c>
    </row>
    <row r="729" spans="1:13">
      <c r="A729" s="1">
        <f>HYPERLINK("https://lsnyc.legalserver.org/matter/dynamic-profile/view/1851045","17-1851045")</f>
        <v>0</v>
      </c>
      <c r="B729" t="s">
        <v>13</v>
      </c>
      <c r="C729" t="s">
        <v>26</v>
      </c>
      <c r="D729" t="s">
        <v>1150</v>
      </c>
      <c r="E729" t="s">
        <v>1843</v>
      </c>
      <c r="F729" t="s">
        <v>2093</v>
      </c>
      <c r="G729">
        <v>10034</v>
      </c>
      <c r="K729">
        <v>2</v>
      </c>
      <c r="L729">
        <v>0</v>
      </c>
      <c r="M729">
        <v>88.67</v>
      </c>
    </row>
    <row r="730" spans="1:13">
      <c r="A730" s="1">
        <f>HYPERLINK("https://lsnyc.legalserver.org/matter/dynamic-profile/view/1864136","18-1864136")</f>
        <v>0</v>
      </c>
      <c r="B730" t="s">
        <v>13</v>
      </c>
      <c r="C730" t="s">
        <v>432</v>
      </c>
      <c r="D730" t="s">
        <v>836</v>
      </c>
      <c r="E730" t="s">
        <v>1512</v>
      </c>
      <c r="F730" t="s">
        <v>2093</v>
      </c>
      <c r="G730">
        <v>10029</v>
      </c>
      <c r="K730">
        <v>1</v>
      </c>
      <c r="L730">
        <v>0</v>
      </c>
      <c r="M730">
        <v>88.67</v>
      </c>
    </row>
    <row r="731" spans="1:13">
      <c r="A731" s="1">
        <f>HYPERLINK("https://lsnyc.legalserver.org/matter/dynamic-profile/view/1870125","18-1870125")</f>
        <v>0</v>
      </c>
      <c r="B731" t="s">
        <v>13</v>
      </c>
      <c r="C731" t="s">
        <v>433</v>
      </c>
      <c r="D731" t="s">
        <v>1151</v>
      </c>
      <c r="E731" t="s">
        <v>1844</v>
      </c>
      <c r="F731" t="s">
        <v>2091</v>
      </c>
      <c r="G731">
        <v>11233</v>
      </c>
      <c r="K731">
        <v>2</v>
      </c>
      <c r="L731">
        <v>0</v>
      </c>
      <c r="M731">
        <v>88.84</v>
      </c>
    </row>
    <row r="732" spans="1:13">
      <c r="A732" s="1">
        <f>HYPERLINK("https://lsnyc.legalserver.org/matter/dynamic-profile/view/1840418","17-1840418")</f>
        <v>0</v>
      </c>
      <c r="B732" t="s">
        <v>13</v>
      </c>
      <c r="C732" t="s">
        <v>39</v>
      </c>
      <c r="D732" t="s">
        <v>1152</v>
      </c>
      <c r="E732" t="s">
        <v>1632</v>
      </c>
      <c r="F732" t="s">
        <v>2093</v>
      </c>
      <c r="G732">
        <v>10033</v>
      </c>
      <c r="K732">
        <v>2</v>
      </c>
      <c r="L732">
        <v>0</v>
      </c>
      <c r="M732">
        <v>88.89</v>
      </c>
    </row>
    <row r="733" spans="1:13">
      <c r="A733" s="1">
        <f>HYPERLINK("https://lsnyc.legalserver.org/matter/dynamic-profile/view/1865526","18-1865526")</f>
        <v>0</v>
      </c>
      <c r="B733" t="s">
        <v>13</v>
      </c>
      <c r="C733" t="s">
        <v>434</v>
      </c>
      <c r="D733" t="s">
        <v>1153</v>
      </c>
      <c r="E733" t="s">
        <v>1845</v>
      </c>
      <c r="F733" t="s">
        <v>2091</v>
      </c>
      <c r="G733">
        <v>11205</v>
      </c>
      <c r="K733">
        <v>1</v>
      </c>
      <c r="L733">
        <v>0</v>
      </c>
      <c r="M733">
        <v>88.95999999999999</v>
      </c>
    </row>
    <row r="734" spans="1:13">
      <c r="A734" s="1">
        <f>HYPERLINK("https://lsnyc.legalserver.org/matter/dynamic-profile/view/1865535","18-1865535")</f>
        <v>0</v>
      </c>
      <c r="B734" t="s">
        <v>13</v>
      </c>
      <c r="C734" t="s">
        <v>434</v>
      </c>
      <c r="D734" t="s">
        <v>1153</v>
      </c>
      <c r="E734" t="s">
        <v>1845</v>
      </c>
      <c r="F734" t="s">
        <v>2091</v>
      </c>
      <c r="G734">
        <v>11205</v>
      </c>
      <c r="K734">
        <v>1</v>
      </c>
      <c r="L734">
        <v>0</v>
      </c>
      <c r="M734">
        <v>88.95999999999999</v>
      </c>
    </row>
    <row r="735" spans="1:13">
      <c r="A735" s="1">
        <f>HYPERLINK("https://lsnyc.legalserver.org/matter/dynamic-profile/view/1864198","18-1864198")</f>
        <v>0</v>
      </c>
      <c r="B735" t="s">
        <v>13</v>
      </c>
      <c r="C735" t="s">
        <v>435</v>
      </c>
      <c r="D735" t="s">
        <v>1154</v>
      </c>
      <c r="E735" t="s">
        <v>1846</v>
      </c>
      <c r="F735" t="s">
        <v>2091</v>
      </c>
      <c r="G735">
        <v>11226</v>
      </c>
      <c r="K735">
        <v>1</v>
      </c>
      <c r="L735">
        <v>0</v>
      </c>
      <c r="M735">
        <v>88.95999999999999</v>
      </c>
    </row>
    <row r="736" spans="1:13">
      <c r="A736" s="1">
        <f>HYPERLINK("https://lsnyc.legalserver.org/matter/dynamic-profile/view/1863930","18-1863930")</f>
        <v>0</v>
      </c>
      <c r="B736" t="s">
        <v>13</v>
      </c>
      <c r="C736" t="s">
        <v>434</v>
      </c>
      <c r="D736" t="s">
        <v>1153</v>
      </c>
      <c r="E736" t="s">
        <v>1845</v>
      </c>
      <c r="F736" t="s">
        <v>2091</v>
      </c>
      <c r="G736">
        <v>11205</v>
      </c>
      <c r="K736">
        <v>1</v>
      </c>
      <c r="L736">
        <v>0</v>
      </c>
      <c r="M736">
        <v>88.95999999999999</v>
      </c>
    </row>
    <row r="737" spans="1:13">
      <c r="A737" s="1">
        <f>HYPERLINK("https://lsnyc.legalserver.org/matter/dynamic-profile/view/1860915","18-1860915")</f>
        <v>0</v>
      </c>
      <c r="B737" t="s">
        <v>13</v>
      </c>
      <c r="C737" t="s">
        <v>435</v>
      </c>
      <c r="D737" t="s">
        <v>1154</v>
      </c>
      <c r="E737" t="s">
        <v>1846</v>
      </c>
      <c r="F737" t="s">
        <v>2091</v>
      </c>
      <c r="G737">
        <v>11226</v>
      </c>
      <c r="K737">
        <v>1</v>
      </c>
      <c r="L737">
        <v>0</v>
      </c>
      <c r="M737">
        <v>88.95999999999999</v>
      </c>
    </row>
    <row r="738" spans="1:13">
      <c r="A738" s="1">
        <f>HYPERLINK("https://lsnyc.legalserver.org/matter/dynamic-profile/view/1861665","18-1861665")</f>
        <v>0</v>
      </c>
      <c r="B738" t="s">
        <v>13</v>
      </c>
      <c r="C738" t="s">
        <v>141</v>
      </c>
      <c r="D738" t="s">
        <v>1155</v>
      </c>
      <c r="E738" t="s">
        <v>1847</v>
      </c>
      <c r="F738" t="s">
        <v>2093</v>
      </c>
      <c r="G738">
        <v>10033</v>
      </c>
      <c r="K738">
        <v>1</v>
      </c>
      <c r="L738">
        <v>0</v>
      </c>
      <c r="M738">
        <v>89.06</v>
      </c>
    </row>
    <row r="739" spans="1:13">
      <c r="A739" s="1">
        <f>HYPERLINK("https://lsnyc.legalserver.org/matter/dynamic-profile/view/1851293","17-1851293")</f>
        <v>0</v>
      </c>
      <c r="B739" t="s">
        <v>13</v>
      </c>
      <c r="C739" t="s">
        <v>436</v>
      </c>
      <c r="D739" t="s">
        <v>1156</v>
      </c>
      <c r="E739" t="s">
        <v>1557</v>
      </c>
      <c r="F739" t="s">
        <v>2091</v>
      </c>
      <c r="G739">
        <v>11208</v>
      </c>
      <c r="K739">
        <v>3</v>
      </c>
      <c r="L739">
        <v>0</v>
      </c>
      <c r="M739">
        <v>89.13</v>
      </c>
    </row>
    <row r="740" spans="1:13">
      <c r="A740" s="1">
        <f>HYPERLINK("https://lsnyc.legalserver.org/matter/dynamic-profile/view/1854905","17-1854905")</f>
        <v>0</v>
      </c>
      <c r="B740" t="s">
        <v>13</v>
      </c>
      <c r="C740" t="s">
        <v>29</v>
      </c>
      <c r="D740" t="s">
        <v>1157</v>
      </c>
      <c r="E740" t="s">
        <v>1848</v>
      </c>
      <c r="F740" t="s">
        <v>2093</v>
      </c>
      <c r="G740">
        <v>10034</v>
      </c>
      <c r="K740">
        <v>1</v>
      </c>
      <c r="L740">
        <v>0</v>
      </c>
      <c r="M740">
        <v>89.55</v>
      </c>
    </row>
    <row r="741" spans="1:13">
      <c r="A741" s="1">
        <f>HYPERLINK("https://lsnyc.legalserver.org/matter/dynamic-profile/view/1845563","17-1845563")</f>
        <v>0</v>
      </c>
      <c r="B741" t="s">
        <v>13</v>
      </c>
      <c r="C741" t="s">
        <v>112</v>
      </c>
      <c r="D741" t="s">
        <v>842</v>
      </c>
      <c r="E741" t="s">
        <v>1751</v>
      </c>
      <c r="F741" t="s">
        <v>2091</v>
      </c>
      <c r="G741">
        <v>11213</v>
      </c>
      <c r="K741">
        <v>1</v>
      </c>
      <c r="L741">
        <v>0</v>
      </c>
      <c r="M741">
        <v>89.65000000000001</v>
      </c>
    </row>
    <row r="742" spans="1:13">
      <c r="A742" s="1">
        <f>HYPERLINK("https://lsnyc.legalserver.org/matter/dynamic-profile/view/1864176","18-1864176")</f>
        <v>0</v>
      </c>
      <c r="B742" t="s">
        <v>13</v>
      </c>
      <c r="C742" t="s">
        <v>241</v>
      </c>
      <c r="D742" t="s">
        <v>1158</v>
      </c>
      <c r="E742" t="s">
        <v>1816</v>
      </c>
      <c r="F742" t="s">
        <v>2093</v>
      </c>
      <c r="G742">
        <v>10033</v>
      </c>
      <c r="K742">
        <v>2</v>
      </c>
      <c r="L742">
        <v>0</v>
      </c>
      <c r="M742">
        <v>89.75</v>
      </c>
    </row>
    <row r="743" spans="1:13">
      <c r="A743" s="1">
        <f>HYPERLINK("https://lsnyc.legalserver.org/matter/dynamic-profile/view/1857864","18-1857864")</f>
        <v>0</v>
      </c>
      <c r="B743" t="s">
        <v>13</v>
      </c>
      <c r="C743" t="s">
        <v>165</v>
      </c>
      <c r="D743" t="s">
        <v>893</v>
      </c>
      <c r="E743" t="s">
        <v>1461</v>
      </c>
      <c r="F743" t="s">
        <v>2090</v>
      </c>
      <c r="G743">
        <v>10304</v>
      </c>
      <c r="K743">
        <v>4</v>
      </c>
      <c r="L743">
        <v>0</v>
      </c>
      <c r="M743">
        <v>89.79000000000001</v>
      </c>
    </row>
    <row r="744" spans="1:13">
      <c r="A744" s="1">
        <f>HYPERLINK("https://lsnyc.legalserver.org/matter/dynamic-profile/view/0806919","16-0806919")</f>
        <v>0</v>
      </c>
      <c r="B744" t="s">
        <v>13</v>
      </c>
      <c r="C744" t="s">
        <v>437</v>
      </c>
      <c r="D744" t="s">
        <v>1159</v>
      </c>
      <c r="E744" t="s">
        <v>1824</v>
      </c>
      <c r="F744" t="s">
        <v>2093</v>
      </c>
      <c r="G744">
        <v>10034</v>
      </c>
      <c r="K744">
        <v>2</v>
      </c>
      <c r="L744">
        <v>0</v>
      </c>
      <c r="M744">
        <v>89.89</v>
      </c>
    </row>
    <row r="745" spans="1:13">
      <c r="A745" s="1">
        <f>HYPERLINK("https://lsnyc.legalserver.org/matter/dynamic-profile/view/1872113","18-1872113")</f>
        <v>0</v>
      </c>
      <c r="B745" t="s">
        <v>13</v>
      </c>
      <c r="C745" t="s">
        <v>308</v>
      </c>
      <c r="D745" t="s">
        <v>1160</v>
      </c>
      <c r="E745" t="s">
        <v>1466</v>
      </c>
      <c r="F745" t="s">
        <v>2091</v>
      </c>
      <c r="G745">
        <v>11225</v>
      </c>
      <c r="K745">
        <v>2</v>
      </c>
      <c r="L745">
        <v>0</v>
      </c>
      <c r="M745">
        <v>89.95999999999999</v>
      </c>
    </row>
    <row r="746" spans="1:13">
      <c r="A746" s="1">
        <f>HYPERLINK("https://lsnyc.legalserver.org/matter/dynamic-profile/view/1887836","19-1887836")</f>
        <v>0</v>
      </c>
      <c r="B746" t="s">
        <v>13</v>
      </c>
      <c r="C746" t="s">
        <v>308</v>
      </c>
      <c r="D746" t="s">
        <v>1160</v>
      </c>
      <c r="E746" t="s">
        <v>1466</v>
      </c>
      <c r="F746" t="s">
        <v>2091</v>
      </c>
      <c r="G746">
        <v>11225</v>
      </c>
      <c r="K746">
        <v>2</v>
      </c>
      <c r="L746">
        <v>0</v>
      </c>
      <c r="M746">
        <v>89.95999999999999</v>
      </c>
    </row>
    <row r="747" spans="1:13">
      <c r="A747" s="1">
        <f>HYPERLINK("https://lsnyc.legalserver.org/matter/dynamic-profile/view/1835328","17-1835328")</f>
        <v>0</v>
      </c>
      <c r="B747" t="s">
        <v>13</v>
      </c>
      <c r="C747" t="s">
        <v>438</v>
      </c>
      <c r="D747" t="s">
        <v>735</v>
      </c>
      <c r="E747" t="s">
        <v>1849</v>
      </c>
      <c r="F747" t="s">
        <v>2091</v>
      </c>
      <c r="G747">
        <v>11219</v>
      </c>
      <c r="K747">
        <v>3</v>
      </c>
      <c r="L747">
        <v>0</v>
      </c>
      <c r="M747">
        <v>90.09</v>
      </c>
    </row>
    <row r="748" spans="1:13">
      <c r="A748" s="1">
        <f>HYPERLINK("https://lsnyc.legalserver.org/matter/dynamic-profile/view/0822574","16-0822574")</f>
        <v>0</v>
      </c>
      <c r="B748" t="s">
        <v>13</v>
      </c>
      <c r="C748" t="s">
        <v>360</v>
      </c>
      <c r="D748" t="s">
        <v>1161</v>
      </c>
      <c r="E748" t="s">
        <v>1850</v>
      </c>
      <c r="F748" t="s">
        <v>2093</v>
      </c>
      <c r="G748">
        <v>10034</v>
      </c>
      <c r="K748">
        <v>1</v>
      </c>
      <c r="L748">
        <v>0</v>
      </c>
      <c r="M748">
        <v>90.09999999999999</v>
      </c>
    </row>
    <row r="749" spans="1:13">
      <c r="A749" s="1">
        <f>HYPERLINK("https://lsnyc.legalserver.org/matter/dynamic-profile/view/1844058","17-1844058")</f>
        <v>0</v>
      </c>
      <c r="B749" t="s">
        <v>13</v>
      </c>
      <c r="C749" t="s">
        <v>327</v>
      </c>
      <c r="D749" t="s">
        <v>919</v>
      </c>
      <c r="E749" t="s">
        <v>1462</v>
      </c>
      <c r="F749" t="s">
        <v>2092</v>
      </c>
      <c r="G749">
        <v>11354</v>
      </c>
      <c r="K749">
        <v>2</v>
      </c>
      <c r="L749">
        <v>0</v>
      </c>
      <c r="M749">
        <v>90.15000000000001</v>
      </c>
    </row>
    <row r="750" spans="1:13">
      <c r="A750" s="1">
        <f>HYPERLINK("https://lsnyc.legalserver.org/matter/dynamic-profile/view/1866352","18-1866352")</f>
        <v>0</v>
      </c>
      <c r="B750" t="s">
        <v>13</v>
      </c>
      <c r="C750" t="s">
        <v>439</v>
      </c>
      <c r="D750" t="s">
        <v>1162</v>
      </c>
      <c r="E750" t="s">
        <v>1851</v>
      </c>
      <c r="F750" t="s">
        <v>2089</v>
      </c>
      <c r="G750">
        <v>10458</v>
      </c>
      <c r="K750">
        <v>2</v>
      </c>
      <c r="L750">
        <v>0</v>
      </c>
      <c r="M750">
        <v>90.26000000000001</v>
      </c>
    </row>
    <row r="751" spans="1:13">
      <c r="A751" s="1">
        <f>HYPERLINK("https://lsnyc.legalserver.org/matter/dynamic-profile/view/0814096","16-0814096")</f>
        <v>0</v>
      </c>
      <c r="B751" t="s">
        <v>13</v>
      </c>
      <c r="C751" t="s">
        <v>440</v>
      </c>
      <c r="D751" t="s">
        <v>1163</v>
      </c>
      <c r="E751" t="s">
        <v>1852</v>
      </c>
      <c r="F751" t="s">
        <v>2089</v>
      </c>
      <c r="G751">
        <v>10456</v>
      </c>
      <c r="K751">
        <v>3</v>
      </c>
      <c r="L751">
        <v>0</v>
      </c>
      <c r="M751">
        <v>90.28</v>
      </c>
    </row>
    <row r="752" spans="1:13">
      <c r="A752" s="1">
        <f>HYPERLINK("https://lsnyc.legalserver.org/matter/dynamic-profile/view/1869719","18-1869719")</f>
        <v>0</v>
      </c>
      <c r="B752" t="s">
        <v>13</v>
      </c>
      <c r="C752" t="s">
        <v>441</v>
      </c>
      <c r="D752" t="s">
        <v>1164</v>
      </c>
      <c r="E752" t="s">
        <v>1597</v>
      </c>
      <c r="F752" t="s">
        <v>2089</v>
      </c>
      <c r="G752">
        <v>10453</v>
      </c>
      <c r="K752">
        <v>1</v>
      </c>
      <c r="L752">
        <v>0</v>
      </c>
      <c r="M752">
        <v>90.34999999999999</v>
      </c>
    </row>
    <row r="753" spans="1:13">
      <c r="A753" s="1">
        <f>HYPERLINK("https://lsnyc.legalserver.org/matter/dynamic-profile/view/1868236","18-1868236")</f>
        <v>0</v>
      </c>
      <c r="B753" t="s">
        <v>13</v>
      </c>
      <c r="C753" t="s">
        <v>442</v>
      </c>
      <c r="D753" t="s">
        <v>1165</v>
      </c>
      <c r="E753" t="s">
        <v>1853</v>
      </c>
      <c r="F753" t="s">
        <v>2089</v>
      </c>
      <c r="G753">
        <v>10453</v>
      </c>
      <c r="K753">
        <v>1</v>
      </c>
      <c r="L753">
        <v>0</v>
      </c>
      <c r="M753">
        <v>90.56999999999999</v>
      </c>
    </row>
    <row r="754" spans="1:13">
      <c r="A754" s="1">
        <f>HYPERLINK("https://lsnyc.legalserver.org/matter/dynamic-profile/view/1863518","18-1863518")</f>
        <v>0</v>
      </c>
      <c r="B754" t="s">
        <v>13</v>
      </c>
      <c r="C754" t="s">
        <v>409</v>
      </c>
      <c r="D754" t="s">
        <v>778</v>
      </c>
      <c r="E754" t="s">
        <v>1599</v>
      </c>
      <c r="F754" t="s">
        <v>2089</v>
      </c>
      <c r="G754">
        <v>10452</v>
      </c>
      <c r="K754">
        <v>4</v>
      </c>
      <c r="L754">
        <v>0</v>
      </c>
      <c r="M754">
        <v>90.84</v>
      </c>
    </row>
    <row r="755" spans="1:13">
      <c r="A755" s="1">
        <f>HYPERLINK("https://lsnyc.legalserver.org/matter/dynamic-profile/view/1862681","18-1862681")</f>
        <v>0</v>
      </c>
      <c r="B755" t="s">
        <v>13</v>
      </c>
      <c r="C755" t="s">
        <v>443</v>
      </c>
      <c r="D755" t="s">
        <v>1166</v>
      </c>
      <c r="E755" t="s">
        <v>1854</v>
      </c>
      <c r="F755" t="s">
        <v>2093</v>
      </c>
      <c r="G755">
        <v>10034</v>
      </c>
      <c r="K755">
        <v>3</v>
      </c>
      <c r="L755">
        <v>0</v>
      </c>
      <c r="M755">
        <v>90.90000000000001</v>
      </c>
    </row>
    <row r="756" spans="1:13">
      <c r="A756" s="1">
        <f>HYPERLINK("https://lsnyc.legalserver.org/matter/dynamic-profile/view/0818715","16-0818715")</f>
        <v>0</v>
      </c>
      <c r="B756" t="s">
        <v>13</v>
      </c>
      <c r="C756" t="s">
        <v>444</v>
      </c>
      <c r="D756" t="s">
        <v>747</v>
      </c>
      <c r="E756" t="s">
        <v>1855</v>
      </c>
      <c r="F756" t="s">
        <v>2093</v>
      </c>
      <c r="G756">
        <v>10035</v>
      </c>
      <c r="K756">
        <v>1</v>
      </c>
      <c r="L756">
        <v>0</v>
      </c>
      <c r="M756">
        <v>90.91</v>
      </c>
    </row>
    <row r="757" spans="1:13">
      <c r="A757" s="1">
        <f>HYPERLINK("https://lsnyc.legalserver.org/matter/dynamic-profile/view/1841095","17-1841095")</f>
        <v>0</v>
      </c>
      <c r="B757" t="s">
        <v>13</v>
      </c>
      <c r="C757" t="s">
        <v>214</v>
      </c>
      <c r="D757" t="s">
        <v>736</v>
      </c>
      <c r="E757" t="s">
        <v>1856</v>
      </c>
      <c r="F757" t="s">
        <v>2091</v>
      </c>
      <c r="G757">
        <v>11231</v>
      </c>
      <c r="K757">
        <v>1</v>
      </c>
      <c r="L757">
        <v>0</v>
      </c>
      <c r="M757">
        <v>91.20999999999999</v>
      </c>
    </row>
    <row r="758" spans="1:13">
      <c r="A758" s="1">
        <f>HYPERLINK("https://lsnyc.legalserver.org/matter/dynamic-profile/view/1871275","18-1871275")</f>
        <v>0</v>
      </c>
      <c r="B758" t="s">
        <v>13</v>
      </c>
      <c r="C758" t="s">
        <v>445</v>
      </c>
      <c r="D758" t="s">
        <v>715</v>
      </c>
      <c r="E758" t="s">
        <v>1448</v>
      </c>
      <c r="F758" t="s">
        <v>2091</v>
      </c>
      <c r="G758">
        <v>11212</v>
      </c>
      <c r="K758">
        <v>2</v>
      </c>
      <c r="L758">
        <v>0</v>
      </c>
      <c r="M758">
        <v>91.56999999999999</v>
      </c>
    </row>
    <row r="759" spans="1:13">
      <c r="A759" s="1">
        <f>HYPERLINK("https://lsnyc.legalserver.org/matter/dynamic-profile/view/1867069","18-1867069")</f>
        <v>0</v>
      </c>
      <c r="B759" t="s">
        <v>13</v>
      </c>
      <c r="C759" t="s">
        <v>445</v>
      </c>
      <c r="D759" t="s">
        <v>715</v>
      </c>
      <c r="E759" t="s">
        <v>1448</v>
      </c>
      <c r="F759" t="s">
        <v>2091</v>
      </c>
      <c r="G759">
        <v>11212</v>
      </c>
      <c r="K759">
        <v>2</v>
      </c>
      <c r="L759">
        <v>0</v>
      </c>
      <c r="M759">
        <v>91.56999999999999</v>
      </c>
    </row>
    <row r="760" spans="1:13">
      <c r="A760" s="1">
        <f>HYPERLINK("https://lsnyc.legalserver.org/matter/dynamic-profile/view/0780604","15-0780604")</f>
        <v>0</v>
      </c>
      <c r="B760" t="s">
        <v>13</v>
      </c>
      <c r="C760" t="s">
        <v>200</v>
      </c>
      <c r="D760" t="s">
        <v>900</v>
      </c>
      <c r="E760" t="s">
        <v>1470</v>
      </c>
      <c r="F760" t="s">
        <v>2089</v>
      </c>
      <c r="G760">
        <v>10452</v>
      </c>
      <c r="K760">
        <v>1</v>
      </c>
      <c r="L760">
        <v>0</v>
      </c>
      <c r="M760">
        <v>91.76000000000001</v>
      </c>
    </row>
    <row r="761" spans="1:13">
      <c r="A761" s="1">
        <f>HYPERLINK("https://lsnyc.legalserver.org/matter/dynamic-profile/view/1863301","18-1863301")</f>
        <v>0</v>
      </c>
      <c r="B761" t="s">
        <v>13</v>
      </c>
      <c r="C761" t="s">
        <v>446</v>
      </c>
      <c r="D761" t="s">
        <v>1167</v>
      </c>
      <c r="E761" t="s">
        <v>1857</v>
      </c>
      <c r="F761" t="s">
        <v>2091</v>
      </c>
      <c r="G761">
        <v>11233</v>
      </c>
      <c r="K761">
        <v>1</v>
      </c>
      <c r="L761">
        <v>0</v>
      </c>
      <c r="M761">
        <v>91.93000000000001</v>
      </c>
    </row>
    <row r="762" spans="1:13">
      <c r="A762" s="1">
        <f>HYPERLINK("https://lsnyc.legalserver.org/matter/dynamic-profile/view/0827315","17-0827315")</f>
        <v>0</v>
      </c>
      <c r="B762" t="s">
        <v>13</v>
      </c>
      <c r="C762" t="s">
        <v>447</v>
      </c>
      <c r="D762" t="s">
        <v>735</v>
      </c>
      <c r="E762" t="s">
        <v>1824</v>
      </c>
      <c r="F762" t="s">
        <v>2093</v>
      </c>
      <c r="G762">
        <v>10034</v>
      </c>
      <c r="K762">
        <v>2</v>
      </c>
      <c r="L762">
        <v>0</v>
      </c>
      <c r="M762">
        <v>92.14</v>
      </c>
    </row>
    <row r="763" spans="1:13">
      <c r="A763" s="1">
        <f>HYPERLINK("https://lsnyc.legalserver.org/matter/dynamic-profile/view/1858991","18-1858991")</f>
        <v>0</v>
      </c>
      <c r="B763" t="s">
        <v>13</v>
      </c>
      <c r="C763" t="s">
        <v>139</v>
      </c>
      <c r="D763" t="s">
        <v>1168</v>
      </c>
      <c r="E763" t="s">
        <v>1455</v>
      </c>
      <c r="F763" t="s">
        <v>2091</v>
      </c>
      <c r="G763">
        <v>11203</v>
      </c>
      <c r="K763">
        <v>1</v>
      </c>
      <c r="L763">
        <v>0</v>
      </c>
      <c r="M763">
        <v>92.19</v>
      </c>
    </row>
    <row r="764" spans="1:13">
      <c r="A764" s="1">
        <f>HYPERLINK("https://lsnyc.legalserver.org/matter/dynamic-profile/view/1862231","18-1862231")</f>
        <v>0</v>
      </c>
      <c r="B764" t="s">
        <v>13</v>
      </c>
      <c r="C764" t="s">
        <v>288</v>
      </c>
      <c r="D764" t="s">
        <v>825</v>
      </c>
      <c r="E764" t="s">
        <v>1627</v>
      </c>
      <c r="F764" t="s">
        <v>2089</v>
      </c>
      <c r="G764">
        <v>10452</v>
      </c>
      <c r="K764">
        <v>2</v>
      </c>
      <c r="L764">
        <v>0</v>
      </c>
      <c r="M764">
        <v>92.22</v>
      </c>
    </row>
    <row r="765" spans="1:13">
      <c r="A765" s="1">
        <f>HYPERLINK("https://lsnyc.legalserver.org/matter/dynamic-profile/view/1864115","18-1864115")</f>
        <v>0</v>
      </c>
      <c r="B765" t="s">
        <v>13</v>
      </c>
      <c r="C765" t="s">
        <v>284</v>
      </c>
      <c r="D765" t="s">
        <v>743</v>
      </c>
      <c r="E765" t="s">
        <v>1858</v>
      </c>
      <c r="F765" t="s">
        <v>2093</v>
      </c>
      <c r="G765">
        <v>10040</v>
      </c>
      <c r="K765">
        <v>3</v>
      </c>
      <c r="L765">
        <v>0</v>
      </c>
      <c r="M765">
        <v>92.22</v>
      </c>
    </row>
    <row r="766" spans="1:13">
      <c r="A766" s="1">
        <f>HYPERLINK("https://lsnyc.legalserver.org/matter/dynamic-profile/view/1857264","18-1857264")</f>
        <v>0</v>
      </c>
      <c r="B766" t="s">
        <v>13</v>
      </c>
      <c r="C766" t="s">
        <v>448</v>
      </c>
      <c r="D766" t="s">
        <v>1169</v>
      </c>
      <c r="E766" t="s">
        <v>1859</v>
      </c>
      <c r="F766" t="s">
        <v>2110</v>
      </c>
      <c r="G766">
        <v>11421</v>
      </c>
      <c r="K766">
        <v>2</v>
      </c>
      <c r="L766">
        <v>0</v>
      </c>
      <c r="M766">
        <v>92.36</v>
      </c>
    </row>
    <row r="767" spans="1:13">
      <c r="A767" s="1">
        <f>HYPERLINK("https://lsnyc.legalserver.org/matter/dynamic-profile/view/1845235","17-1845235")</f>
        <v>0</v>
      </c>
      <c r="B767" t="s">
        <v>13</v>
      </c>
      <c r="C767" t="s">
        <v>449</v>
      </c>
      <c r="D767" t="s">
        <v>1170</v>
      </c>
      <c r="E767" t="s">
        <v>1676</v>
      </c>
      <c r="F767" t="s">
        <v>2091</v>
      </c>
      <c r="G767">
        <v>11208</v>
      </c>
      <c r="K767">
        <v>2</v>
      </c>
      <c r="L767">
        <v>0</v>
      </c>
      <c r="M767">
        <v>92.36</v>
      </c>
    </row>
    <row r="768" spans="1:13">
      <c r="A768" s="1">
        <f>HYPERLINK("https://lsnyc.legalserver.org/matter/dynamic-profile/view/1841429","17-1841429")</f>
        <v>0</v>
      </c>
      <c r="B768" t="s">
        <v>13</v>
      </c>
      <c r="C768" t="s">
        <v>266</v>
      </c>
      <c r="D768" t="s">
        <v>1171</v>
      </c>
      <c r="E768" t="s">
        <v>1860</v>
      </c>
      <c r="F768" t="s">
        <v>2093</v>
      </c>
      <c r="G768">
        <v>10034</v>
      </c>
      <c r="K768">
        <v>3</v>
      </c>
      <c r="L768">
        <v>0</v>
      </c>
      <c r="M768">
        <v>92.38</v>
      </c>
    </row>
    <row r="769" spans="1:13">
      <c r="A769" s="1">
        <f>HYPERLINK("https://lsnyc.legalserver.org/matter/dynamic-profile/view/0823542","16-0823542")</f>
        <v>0</v>
      </c>
      <c r="B769" t="s">
        <v>13</v>
      </c>
      <c r="C769" t="s">
        <v>345</v>
      </c>
      <c r="D769" t="s">
        <v>867</v>
      </c>
      <c r="E769" t="s">
        <v>1470</v>
      </c>
      <c r="F769" t="s">
        <v>2089</v>
      </c>
      <c r="G769">
        <v>10452</v>
      </c>
      <c r="K769">
        <v>1</v>
      </c>
      <c r="L769">
        <v>0</v>
      </c>
      <c r="M769">
        <v>92.63</v>
      </c>
    </row>
    <row r="770" spans="1:13">
      <c r="A770" s="1">
        <f>HYPERLINK("https://lsnyc.legalserver.org/matter/dynamic-profile/view/1836206","17-1836206")</f>
        <v>0</v>
      </c>
      <c r="B770" t="s">
        <v>13</v>
      </c>
      <c r="C770" t="s">
        <v>445</v>
      </c>
      <c r="D770" t="s">
        <v>715</v>
      </c>
      <c r="E770" t="s">
        <v>1448</v>
      </c>
      <c r="F770" t="s">
        <v>2091</v>
      </c>
      <c r="G770">
        <v>11212</v>
      </c>
      <c r="K770">
        <v>2</v>
      </c>
      <c r="L770">
        <v>0</v>
      </c>
      <c r="M770">
        <v>92.81</v>
      </c>
    </row>
    <row r="771" spans="1:13">
      <c r="A771" s="1">
        <f>HYPERLINK("https://lsnyc.legalserver.org/matter/dynamic-profile/view/0815181","16-0815181")</f>
        <v>0</v>
      </c>
      <c r="B771" t="s">
        <v>13</v>
      </c>
      <c r="C771" t="s">
        <v>365</v>
      </c>
      <c r="D771" t="s">
        <v>1172</v>
      </c>
      <c r="E771" t="s">
        <v>1861</v>
      </c>
      <c r="F771" t="s">
        <v>2089</v>
      </c>
      <c r="G771">
        <v>10452</v>
      </c>
      <c r="K771">
        <v>2</v>
      </c>
      <c r="L771">
        <v>0</v>
      </c>
      <c r="M771">
        <v>92.91</v>
      </c>
    </row>
    <row r="772" spans="1:13">
      <c r="A772" s="1">
        <f>HYPERLINK("https://lsnyc.legalserver.org/matter/dynamic-profile/view/0819511","16-0819511")</f>
        <v>0</v>
      </c>
      <c r="B772" t="s">
        <v>13</v>
      </c>
      <c r="C772" t="s">
        <v>365</v>
      </c>
      <c r="D772" t="s">
        <v>1172</v>
      </c>
      <c r="E772" t="s">
        <v>1861</v>
      </c>
      <c r="F772" t="s">
        <v>2089</v>
      </c>
      <c r="G772">
        <v>10452</v>
      </c>
      <c r="K772">
        <v>2</v>
      </c>
      <c r="L772">
        <v>0</v>
      </c>
      <c r="M772">
        <v>92.91</v>
      </c>
    </row>
    <row r="773" spans="1:13">
      <c r="A773" s="1">
        <f>HYPERLINK("https://lsnyc.legalserver.org/matter/dynamic-profile/view/0816866","16-0816866")</f>
        <v>0</v>
      </c>
      <c r="B773" t="s">
        <v>13</v>
      </c>
      <c r="C773" t="s">
        <v>450</v>
      </c>
      <c r="D773" t="s">
        <v>1173</v>
      </c>
      <c r="E773" t="s">
        <v>1469</v>
      </c>
      <c r="F773" t="s">
        <v>2089</v>
      </c>
      <c r="G773">
        <v>10457</v>
      </c>
      <c r="K773">
        <v>1</v>
      </c>
      <c r="L773">
        <v>0</v>
      </c>
      <c r="M773">
        <v>92.93000000000001</v>
      </c>
    </row>
    <row r="774" spans="1:13">
      <c r="A774" s="1">
        <f>HYPERLINK("https://lsnyc.legalserver.org/matter/dynamic-profile/view/0809050","16-0809050")</f>
        <v>0</v>
      </c>
      <c r="B774" t="s">
        <v>13</v>
      </c>
      <c r="C774" t="s">
        <v>450</v>
      </c>
      <c r="D774" t="s">
        <v>1173</v>
      </c>
      <c r="E774" t="s">
        <v>1469</v>
      </c>
      <c r="F774" t="s">
        <v>2089</v>
      </c>
      <c r="G774">
        <v>10457</v>
      </c>
      <c r="K774">
        <v>1</v>
      </c>
      <c r="L774">
        <v>0</v>
      </c>
      <c r="M774">
        <v>92.93000000000001</v>
      </c>
    </row>
    <row r="775" spans="1:13">
      <c r="A775" s="1">
        <f>HYPERLINK("https://lsnyc.legalserver.org/matter/dynamic-profile/view/1842934","17-1842934")</f>
        <v>0</v>
      </c>
      <c r="B775" t="s">
        <v>13</v>
      </c>
      <c r="C775" t="s">
        <v>451</v>
      </c>
      <c r="D775" t="s">
        <v>1126</v>
      </c>
      <c r="E775" t="s">
        <v>1862</v>
      </c>
      <c r="F775" t="s">
        <v>2092</v>
      </c>
      <c r="G775">
        <v>11354</v>
      </c>
      <c r="K775">
        <v>2</v>
      </c>
      <c r="L775">
        <v>0</v>
      </c>
      <c r="M775">
        <v>92.95999999999999</v>
      </c>
    </row>
    <row r="776" spans="1:13">
      <c r="A776" s="1">
        <f>HYPERLINK("https://lsnyc.legalserver.org/matter/dynamic-profile/view/1835004","17-1835004")</f>
        <v>0</v>
      </c>
      <c r="B776" t="s">
        <v>13</v>
      </c>
      <c r="C776" t="s">
        <v>36</v>
      </c>
      <c r="D776" t="s">
        <v>833</v>
      </c>
      <c r="E776" t="s">
        <v>1863</v>
      </c>
      <c r="F776" t="s">
        <v>2093</v>
      </c>
      <c r="G776">
        <v>10035</v>
      </c>
      <c r="K776">
        <v>1</v>
      </c>
      <c r="L776">
        <v>0</v>
      </c>
      <c r="M776">
        <v>93.13</v>
      </c>
    </row>
    <row r="777" spans="1:13">
      <c r="A777" s="1">
        <f>HYPERLINK("https://lsnyc.legalserver.org/matter/dynamic-profile/view/0788972","15-0788972")</f>
        <v>0</v>
      </c>
      <c r="B777" t="s">
        <v>13</v>
      </c>
      <c r="C777" t="s">
        <v>345</v>
      </c>
      <c r="D777" t="s">
        <v>867</v>
      </c>
      <c r="E777" t="s">
        <v>1470</v>
      </c>
      <c r="F777" t="s">
        <v>2089</v>
      </c>
      <c r="G777">
        <v>10452</v>
      </c>
      <c r="K777">
        <v>1</v>
      </c>
      <c r="L777">
        <v>0</v>
      </c>
      <c r="M777">
        <v>93.48999999999999</v>
      </c>
    </row>
    <row r="778" spans="1:13">
      <c r="A778" s="1">
        <f>HYPERLINK("https://lsnyc.legalserver.org/matter/dynamic-profile/view/1857367","18-1857367")</f>
        <v>0</v>
      </c>
      <c r="B778" t="s">
        <v>13</v>
      </c>
      <c r="C778" t="s">
        <v>345</v>
      </c>
      <c r="D778" t="s">
        <v>867</v>
      </c>
      <c r="E778" t="s">
        <v>1470</v>
      </c>
      <c r="F778" t="s">
        <v>2089</v>
      </c>
      <c r="G778">
        <v>10452</v>
      </c>
      <c r="K778">
        <v>1</v>
      </c>
      <c r="L778">
        <v>0</v>
      </c>
      <c r="M778">
        <v>93.53</v>
      </c>
    </row>
    <row r="779" spans="1:13">
      <c r="A779" s="1">
        <f>HYPERLINK("https://lsnyc.legalserver.org/matter/dynamic-profile/view/0791421","15-0791421")</f>
        <v>0</v>
      </c>
      <c r="B779" t="s">
        <v>13</v>
      </c>
      <c r="C779" t="s">
        <v>452</v>
      </c>
      <c r="D779" t="s">
        <v>923</v>
      </c>
      <c r="E779" t="s">
        <v>1864</v>
      </c>
      <c r="F779" t="s">
        <v>2089</v>
      </c>
      <c r="G779">
        <v>10453</v>
      </c>
      <c r="K779">
        <v>1</v>
      </c>
      <c r="L779">
        <v>0</v>
      </c>
      <c r="M779">
        <v>93.59</v>
      </c>
    </row>
    <row r="780" spans="1:13">
      <c r="A780" s="1">
        <f>HYPERLINK("https://lsnyc.legalserver.org/matter/dynamic-profile/view/1864519","18-1864519")</f>
        <v>0</v>
      </c>
      <c r="B780" t="s">
        <v>13</v>
      </c>
      <c r="C780" t="s">
        <v>39</v>
      </c>
      <c r="D780" t="s">
        <v>1174</v>
      </c>
      <c r="E780" t="s">
        <v>1512</v>
      </c>
      <c r="F780" t="s">
        <v>2093</v>
      </c>
      <c r="G780">
        <v>10029</v>
      </c>
      <c r="K780">
        <v>1</v>
      </c>
      <c r="L780">
        <v>0</v>
      </c>
      <c r="M780">
        <v>93.90000000000001</v>
      </c>
    </row>
    <row r="781" spans="1:13">
      <c r="A781" s="1">
        <f>HYPERLINK("https://lsnyc.legalserver.org/matter/dynamic-profile/view/1863004","18-1863004")</f>
        <v>0</v>
      </c>
      <c r="B781" t="s">
        <v>13</v>
      </c>
      <c r="C781" t="s">
        <v>98</v>
      </c>
      <c r="D781" t="s">
        <v>1175</v>
      </c>
      <c r="E781" t="s">
        <v>1688</v>
      </c>
      <c r="F781" t="s">
        <v>2093</v>
      </c>
      <c r="G781">
        <v>10034</v>
      </c>
      <c r="K781">
        <v>3</v>
      </c>
      <c r="L781">
        <v>0</v>
      </c>
      <c r="M781">
        <v>94.31</v>
      </c>
    </row>
    <row r="782" spans="1:13">
      <c r="A782" s="1">
        <f>HYPERLINK("https://lsnyc.legalserver.org/matter/dynamic-profile/view/1836547","17-1836547")</f>
        <v>0</v>
      </c>
      <c r="B782" t="s">
        <v>13</v>
      </c>
      <c r="C782" t="s">
        <v>320</v>
      </c>
      <c r="D782" t="s">
        <v>715</v>
      </c>
      <c r="E782" t="s">
        <v>1438</v>
      </c>
      <c r="F782" t="s">
        <v>2089</v>
      </c>
      <c r="G782">
        <v>10453</v>
      </c>
      <c r="K782">
        <v>1</v>
      </c>
      <c r="L782">
        <v>0</v>
      </c>
      <c r="M782">
        <v>94.43000000000001</v>
      </c>
    </row>
    <row r="783" spans="1:13">
      <c r="A783" s="1">
        <f>HYPERLINK("https://lsnyc.legalserver.org/matter/dynamic-profile/view/1835151","17-1835151")</f>
        <v>0</v>
      </c>
      <c r="B783" t="s">
        <v>13</v>
      </c>
      <c r="C783" t="s">
        <v>23</v>
      </c>
      <c r="D783" t="s">
        <v>1176</v>
      </c>
      <c r="E783" t="s">
        <v>1865</v>
      </c>
      <c r="F783" t="s">
        <v>2091</v>
      </c>
      <c r="G783">
        <v>11238</v>
      </c>
      <c r="K783">
        <v>1</v>
      </c>
      <c r="L783">
        <v>0</v>
      </c>
      <c r="M783">
        <v>94.53</v>
      </c>
    </row>
    <row r="784" spans="1:13">
      <c r="A784" s="1">
        <f>HYPERLINK("https://lsnyc.legalserver.org/matter/dynamic-profile/view/1867114","18-1867114")</f>
        <v>0</v>
      </c>
      <c r="B784" t="s">
        <v>13</v>
      </c>
      <c r="C784" t="s">
        <v>139</v>
      </c>
      <c r="D784" t="s">
        <v>842</v>
      </c>
      <c r="E784" t="s">
        <v>1448</v>
      </c>
      <c r="F784" t="s">
        <v>2091</v>
      </c>
      <c r="G784">
        <v>11212</v>
      </c>
      <c r="K784">
        <v>2</v>
      </c>
      <c r="L784">
        <v>0</v>
      </c>
      <c r="M784">
        <v>94.78</v>
      </c>
    </row>
    <row r="785" spans="1:13">
      <c r="A785" s="1">
        <f>HYPERLINK("https://lsnyc.legalserver.org/matter/dynamic-profile/view/0820162","16-0820162")</f>
        <v>0</v>
      </c>
      <c r="B785" t="s">
        <v>13</v>
      </c>
      <c r="C785" t="s">
        <v>453</v>
      </c>
      <c r="D785" t="s">
        <v>840</v>
      </c>
      <c r="E785" t="s">
        <v>1677</v>
      </c>
      <c r="F785" t="s">
        <v>2093</v>
      </c>
      <c r="G785">
        <v>10034</v>
      </c>
      <c r="K785">
        <v>2</v>
      </c>
      <c r="L785">
        <v>0</v>
      </c>
      <c r="M785">
        <v>94.83</v>
      </c>
    </row>
    <row r="786" spans="1:13">
      <c r="A786" s="1">
        <f>HYPERLINK("https://lsnyc.legalserver.org/matter/dynamic-profile/view/1870059","18-1870059")</f>
        <v>0</v>
      </c>
      <c r="B786" t="s">
        <v>13</v>
      </c>
      <c r="C786" t="s">
        <v>454</v>
      </c>
      <c r="D786" t="s">
        <v>1177</v>
      </c>
      <c r="E786" t="s">
        <v>1866</v>
      </c>
      <c r="F786" t="s">
        <v>2089</v>
      </c>
      <c r="G786">
        <v>10452</v>
      </c>
      <c r="K786">
        <v>3</v>
      </c>
      <c r="L786">
        <v>0</v>
      </c>
      <c r="M786">
        <v>95.09</v>
      </c>
    </row>
    <row r="787" spans="1:13">
      <c r="A787" s="1">
        <f>HYPERLINK("https://lsnyc.legalserver.org/matter/dynamic-profile/view/1837719","17-1837719")</f>
        <v>0</v>
      </c>
      <c r="B787" t="s">
        <v>13</v>
      </c>
      <c r="C787" t="s">
        <v>455</v>
      </c>
      <c r="D787" t="s">
        <v>64</v>
      </c>
      <c r="E787" t="s">
        <v>1867</v>
      </c>
      <c r="F787" t="s">
        <v>2091</v>
      </c>
      <c r="G787">
        <v>11213</v>
      </c>
      <c r="K787">
        <v>2</v>
      </c>
      <c r="L787">
        <v>0</v>
      </c>
      <c r="M787">
        <v>95.09999999999999</v>
      </c>
    </row>
    <row r="788" spans="1:13">
      <c r="A788" s="1">
        <f>HYPERLINK("https://lsnyc.legalserver.org/matter/dynamic-profile/view/1844364","17-1844364")</f>
        <v>0</v>
      </c>
      <c r="B788" t="s">
        <v>13</v>
      </c>
      <c r="C788" t="s">
        <v>456</v>
      </c>
      <c r="D788" t="s">
        <v>1178</v>
      </c>
      <c r="E788" t="s">
        <v>1868</v>
      </c>
      <c r="F788" t="s">
        <v>2091</v>
      </c>
      <c r="G788">
        <v>11217</v>
      </c>
      <c r="K788">
        <v>1</v>
      </c>
      <c r="L788">
        <v>0</v>
      </c>
      <c r="M788">
        <v>95.42</v>
      </c>
    </row>
    <row r="789" spans="1:13">
      <c r="A789" s="1">
        <f>HYPERLINK("https://lsnyc.legalserver.org/matter/dynamic-profile/view/1842302","17-1842302")</f>
        <v>0</v>
      </c>
      <c r="B789" t="s">
        <v>13</v>
      </c>
      <c r="C789" t="s">
        <v>457</v>
      </c>
      <c r="D789" t="s">
        <v>738</v>
      </c>
      <c r="E789" t="s">
        <v>1869</v>
      </c>
      <c r="F789" t="s">
        <v>2093</v>
      </c>
      <c r="G789">
        <v>10034</v>
      </c>
      <c r="K789">
        <v>2</v>
      </c>
      <c r="L789">
        <v>0</v>
      </c>
      <c r="M789">
        <v>95.42</v>
      </c>
    </row>
    <row r="790" spans="1:13">
      <c r="A790" s="1">
        <f>HYPERLINK("https://lsnyc.legalserver.org/matter/dynamic-profile/view/1856175","18-1856175")</f>
        <v>0</v>
      </c>
      <c r="B790" t="s">
        <v>13</v>
      </c>
      <c r="C790" t="s">
        <v>458</v>
      </c>
      <c r="D790" t="s">
        <v>715</v>
      </c>
      <c r="E790" t="s">
        <v>1870</v>
      </c>
      <c r="F790" t="s">
        <v>2091</v>
      </c>
      <c r="G790">
        <v>11233</v>
      </c>
      <c r="K790">
        <v>3</v>
      </c>
      <c r="L790">
        <v>0</v>
      </c>
      <c r="M790">
        <v>95.84</v>
      </c>
    </row>
    <row r="791" spans="1:13">
      <c r="A791" s="1">
        <f>HYPERLINK("https://lsnyc.legalserver.org/matter/dynamic-profile/view/1849906","17-1849906")</f>
        <v>0</v>
      </c>
      <c r="B791" t="s">
        <v>13</v>
      </c>
      <c r="C791" t="s">
        <v>90</v>
      </c>
      <c r="D791" t="s">
        <v>1179</v>
      </c>
      <c r="E791" t="s">
        <v>1871</v>
      </c>
      <c r="F791" t="s">
        <v>2091</v>
      </c>
      <c r="G791">
        <v>11217</v>
      </c>
      <c r="K791">
        <v>1</v>
      </c>
      <c r="L791">
        <v>0</v>
      </c>
      <c r="M791">
        <v>95.94</v>
      </c>
    </row>
    <row r="792" spans="1:13">
      <c r="A792" s="1">
        <f>HYPERLINK("https://lsnyc.legalserver.org/matter/dynamic-profile/view/0831799","17-0831799")</f>
        <v>0</v>
      </c>
      <c r="B792" t="s">
        <v>13</v>
      </c>
      <c r="C792" t="s">
        <v>459</v>
      </c>
      <c r="D792" t="s">
        <v>1180</v>
      </c>
      <c r="E792" t="s">
        <v>1729</v>
      </c>
      <c r="F792" t="s">
        <v>2089</v>
      </c>
      <c r="G792">
        <v>10453</v>
      </c>
      <c r="K792">
        <v>2</v>
      </c>
      <c r="L792">
        <v>0</v>
      </c>
      <c r="M792">
        <v>96.06</v>
      </c>
    </row>
    <row r="793" spans="1:13">
      <c r="A793" s="1">
        <f>HYPERLINK("https://lsnyc.legalserver.org/matter/dynamic-profile/view/1857559","18-1857559")</f>
        <v>0</v>
      </c>
      <c r="B793" t="s">
        <v>13</v>
      </c>
      <c r="C793" t="s">
        <v>437</v>
      </c>
      <c r="D793" t="s">
        <v>921</v>
      </c>
      <c r="E793" t="s">
        <v>1470</v>
      </c>
      <c r="F793" t="s">
        <v>2089</v>
      </c>
      <c r="G793">
        <v>10452</v>
      </c>
      <c r="K793">
        <v>2</v>
      </c>
      <c r="L793">
        <v>0</v>
      </c>
      <c r="M793">
        <v>96.06</v>
      </c>
    </row>
    <row r="794" spans="1:13">
      <c r="A794" s="1">
        <f>HYPERLINK("https://lsnyc.legalserver.org/matter/dynamic-profile/view/1854138","17-1854138")</f>
        <v>0</v>
      </c>
      <c r="B794" t="s">
        <v>13</v>
      </c>
      <c r="C794" t="s">
        <v>409</v>
      </c>
      <c r="D794" t="s">
        <v>1126</v>
      </c>
      <c r="E794" t="s">
        <v>1697</v>
      </c>
      <c r="F794" t="s">
        <v>2089</v>
      </c>
      <c r="G794">
        <v>10456</v>
      </c>
      <c r="K794">
        <v>2</v>
      </c>
      <c r="L794">
        <v>0</v>
      </c>
      <c r="M794">
        <v>96.13</v>
      </c>
    </row>
    <row r="795" spans="1:13">
      <c r="A795" s="1">
        <f>HYPERLINK("https://lsnyc.legalserver.org/matter/dynamic-profile/view/1857401","18-1857401")</f>
        <v>0</v>
      </c>
      <c r="B795" t="s">
        <v>13</v>
      </c>
      <c r="C795" t="s">
        <v>460</v>
      </c>
      <c r="D795" t="s">
        <v>854</v>
      </c>
      <c r="E795" t="s">
        <v>1470</v>
      </c>
      <c r="F795" t="s">
        <v>2089</v>
      </c>
      <c r="G795">
        <v>10452</v>
      </c>
      <c r="K795">
        <v>1</v>
      </c>
      <c r="L795">
        <v>0</v>
      </c>
      <c r="M795">
        <v>96.42</v>
      </c>
    </row>
    <row r="796" spans="1:13">
      <c r="A796" s="1">
        <f>HYPERLINK("https://lsnyc.legalserver.org/matter/dynamic-profile/view/0824333","17-0824333")</f>
        <v>0</v>
      </c>
      <c r="B796" t="s">
        <v>13</v>
      </c>
      <c r="C796" t="s">
        <v>461</v>
      </c>
      <c r="D796" t="s">
        <v>1181</v>
      </c>
      <c r="E796" t="s">
        <v>1872</v>
      </c>
      <c r="F796" t="s">
        <v>2091</v>
      </c>
      <c r="G796">
        <v>11217</v>
      </c>
      <c r="K796">
        <v>1</v>
      </c>
      <c r="L796">
        <v>0</v>
      </c>
      <c r="M796">
        <v>96.56999999999999</v>
      </c>
    </row>
    <row r="797" spans="1:13">
      <c r="A797" s="1">
        <f>HYPERLINK("https://lsnyc.legalserver.org/matter/dynamic-profile/view/0793302","15-0793302")</f>
        <v>0</v>
      </c>
      <c r="B797" t="s">
        <v>13</v>
      </c>
      <c r="C797" t="s">
        <v>455</v>
      </c>
      <c r="D797" t="s">
        <v>64</v>
      </c>
      <c r="E797" t="s">
        <v>1867</v>
      </c>
      <c r="F797" t="s">
        <v>2091</v>
      </c>
      <c r="G797">
        <v>11213</v>
      </c>
      <c r="K797">
        <v>2</v>
      </c>
      <c r="L797">
        <v>0</v>
      </c>
      <c r="M797">
        <v>96.95</v>
      </c>
    </row>
    <row r="798" spans="1:13">
      <c r="A798" s="1">
        <f>HYPERLINK("https://lsnyc.legalserver.org/matter/dynamic-profile/view/0806134","16-0806134")</f>
        <v>0</v>
      </c>
      <c r="B798" t="s">
        <v>13</v>
      </c>
      <c r="C798" t="s">
        <v>437</v>
      </c>
      <c r="D798" t="s">
        <v>921</v>
      </c>
      <c r="E798" t="s">
        <v>1470</v>
      </c>
      <c r="F798" t="s">
        <v>2089</v>
      </c>
      <c r="G798">
        <v>10452</v>
      </c>
      <c r="K798">
        <v>2</v>
      </c>
      <c r="L798">
        <v>0</v>
      </c>
      <c r="M798">
        <v>97.38</v>
      </c>
    </row>
    <row r="799" spans="1:13">
      <c r="A799" s="1">
        <f>HYPERLINK("https://lsnyc.legalserver.org/matter/dynamic-profile/view/1836107","17-1836107")</f>
        <v>0</v>
      </c>
      <c r="B799" t="s">
        <v>13</v>
      </c>
      <c r="C799" t="s">
        <v>462</v>
      </c>
      <c r="D799" t="s">
        <v>1182</v>
      </c>
      <c r="E799" t="s">
        <v>1873</v>
      </c>
      <c r="F799" t="s">
        <v>2093</v>
      </c>
      <c r="G799">
        <v>10029</v>
      </c>
      <c r="K799">
        <v>2</v>
      </c>
      <c r="L799">
        <v>0</v>
      </c>
      <c r="M799">
        <v>97.45999999999999</v>
      </c>
    </row>
    <row r="800" spans="1:13">
      <c r="A800" s="1">
        <f>HYPERLINK("https://lsnyc.legalserver.org/matter/dynamic-profile/view/1847790","17-1847790")</f>
        <v>0</v>
      </c>
      <c r="B800" t="s">
        <v>13</v>
      </c>
      <c r="C800" t="s">
        <v>463</v>
      </c>
      <c r="D800" t="s">
        <v>1183</v>
      </c>
      <c r="E800" t="s">
        <v>1656</v>
      </c>
      <c r="F800" t="s">
        <v>2091</v>
      </c>
      <c r="G800">
        <v>11214</v>
      </c>
      <c r="K800">
        <v>1</v>
      </c>
      <c r="L800">
        <v>0</v>
      </c>
      <c r="M800">
        <v>97.51000000000001</v>
      </c>
    </row>
    <row r="801" spans="1:13">
      <c r="A801" s="1">
        <f>HYPERLINK("https://lsnyc.legalserver.org/matter/dynamic-profile/view/0822142","16-0822142")</f>
        <v>0</v>
      </c>
      <c r="B801" t="s">
        <v>13</v>
      </c>
      <c r="C801" t="s">
        <v>460</v>
      </c>
      <c r="D801" t="s">
        <v>854</v>
      </c>
      <c r="E801" t="s">
        <v>1470</v>
      </c>
      <c r="F801" t="s">
        <v>2089</v>
      </c>
      <c r="G801">
        <v>10452</v>
      </c>
      <c r="K801">
        <v>1</v>
      </c>
      <c r="L801">
        <v>0</v>
      </c>
      <c r="M801">
        <v>97.88</v>
      </c>
    </row>
    <row r="802" spans="1:13">
      <c r="A802" s="1">
        <f>HYPERLINK("https://lsnyc.legalserver.org/matter/dynamic-profile/view/0810651","16-0810651")</f>
        <v>0</v>
      </c>
      <c r="B802" t="s">
        <v>13</v>
      </c>
      <c r="C802" t="s">
        <v>15</v>
      </c>
      <c r="D802" t="s">
        <v>1184</v>
      </c>
      <c r="E802" t="s">
        <v>1874</v>
      </c>
      <c r="F802" t="s">
        <v>2089</v>
      </c>
      <c r="G802">
        <v>10453</v>
      </c>
      <c r="K802">
        <v>1</v>
      </c>
      <c r="L802">
        <v>0</v>
      </c>
      <c r="M802">
        <v>98.43000000000001</v>
      </c>
    </row>
    <row r="803" spans="1:13">
      <c r="A803" s="1">
        <f>HYPERLINK("https://lsnyc.legalserver.org/matter/dynamic-profile/view/0826185","17-0826185")</f>
        <v>0</v>
      </c>
      <c r="B803" t="s">
        <v>13</v>
      </c>
      <c r="C803" t="s">
        <v>39</v>
      </c>
      <c r="D803" t="s">
        <v>773</v>
      </c>
      <c r="E803" t="s">
        <v>1850</v>
      </c>
      <c r="F803" t="s">
        <v>2093</v>
      </c>
      <c r="G803">
        <v>10034</v>
      </c>
      <c r="K803">
        <v>2</v>
      </c>
      <c r="L803">
        <v>0</v>
      </c>
      <c r="M803">
        <v>98.45999999999999</v>
      </c>
    </row>
    <row r="804" spans="1:13">
      <c r="A804" s="1">
        <f>HYPERLINK("https://lsnyc.legalserver.org/matter/dynamic-profile/view/1855758","18-1855758")</f>
        <v>0</v>
      </c>
      <c r="B804" t="s">
        <v>13</v>
      </c>
      <c r="C804" t="s">
        <v>74</v>
      </c>
      <c r="D804" t="s">
        <v>1185</v>
      </c>
      <c r="E804" t="s">
        <v>1875</v>
      </c>
      <c r="F804" t="s">
        <v>2089</v>
      </c>
      <c r="G804">
        <v>10472</v>
      </c>
      <c r="K804">
        <v>1</v>
      </c>
      <c r="L804">
        <v>0</v>
      </c>
      <c r="M804">
        <v>98.51000000000001</v>
      </c>
    </row>
    <row r="805" spans="1:13">
      <c r="A805" s="1">
        <f>HYPERLINK("https://lsnyc.legalserver.org/matter/dynamic-profile/view/1855754","18-1855754")</f>
        <v>0</v>
      </c>
      <c r="B805" t="s">
        <v>13</v>
      </c>
      <c r="C805" t="s">
        <v>74</v>
      </c>
      <c r="D805" t="s">
        <v>1185</v>
      </c>
      <c r="E805" t="s">
        <v>1875</v>
      </c>
      <c r="F805" t="s">
        <v>2089</v>
      </c>
      <c r="G805">
        <v>10472</v>
      </c>
      <c r="K805">
        <v>1</v>
      </c>
      <c r="L805">
        <v>0</v>
      </c>
      <c r="M805">
        <v>98.51000000000001</v>
      </c>
    </row>
    <row r="806" spans="1:13">
      <c r="A806" s="1">
        <f>HYPERLINK("https://lsnyc.legalserver.org/matter/dynamic-profile/view/1853275","17-1853275")</f>
        <v>0</v>
      </c>
      <c r="B806" t="s">
        <v>13</v>
      </c>
      <c r="C806" t="s">
        <v>74</v>
      </c>
      <c r="D806" t="s">
        <v>1185</v>
      </c>
      <c r="E806" t="s">
        <v>1875</v>
      </c>
      <c r="F806" t="s">
        <v>2089</v>
      </c>
      <c r="G806">
        <v>10472</v>
      </c>
      <c r="K806">
        <v>1</v>
      </c>
      <c r="L806">
        <v>0</v>
      </c>
      <c r="M806">
        <v>98.51000000000001</v>
      </c>
    </row>
    <row r="807" spans="1:13">
      <c r="A807" s="1">
        <f>HYPERLINK("https://lsnyc.legalserver.org/matter/dynamic-profile/view/1868725","18-1868725")</f>
        <v>0</v>
      </c>
      <c r="B807" t="s">
        <v>13</v>
      </c>
      <c r="C807" t="s">
        <v>464</v>
      </c>
      <c r="D807" t="s">
        <v>1186</v>
      </c>
      <c r="E807" t="s">
        <v>1876</v>
      </c>
      <c r="F807" t="s">
        <v>2089</v>
      </c>
      <c r="G807">
        <v>10457</v>
      </c>
      <c r="K807">
        <v>1</v>
      </c>
      <c r="L807">
        <v>0</v>
      </c>
      <c r="M807">
        <v>98.84999999999999</v>
      </c>
    </row>
    <row r="808" spans="1:13">
      <c r="A808" s="1">
        <f>HYPERLINK("https://lsnyc.legalserver.org/matter/dynamic-profile/view/1865021","18-1865021")</f>
        <v>0</v>
      </c>
      <c r="B808" t="s">
        <v>13</v>
      </c>
      <c r="C808" t="s">
        <v>465</v>
      </c>
      <c r="D808" t="s">
        <v>1187</v>
      </c>
      <c r="E808" t="s">
        <v>1877</v>
      </c>
      <c r="F808" t="s">
        <v>2093</v>
      </c>
      <c r="G808">
        <v>10035</v>
      </c>
      <c r="K808">
        <v>1</v>
      </c>
      <c r="L808">
        <v>0</v>
      </c>
      <c r="M808">
        <v>98.84999999999999</v>
      </c>
    </row>
    <row r="809" spans="1:13">
      <c r="A809" s="1">
        <f>HYPERLINK("https://lsnyc.legalserver.org/matter/dynamic-profile/view/1838950","17-1838950")</f>
        <v>0</v>
      </c>
      <c r="B809" t="s">
        <v>13</v>
      </c>
      <c r="C809" t="s">
        <v>466</v>
      </c>
      <c r="D809" t="s">
        <v>756</v>
      </c>
      <c r="E809" t="s">
        <v>1878</v>
      </c>
      <c r="F809" t="s">
        <v>2093</v>
      </c>
      <c r="G809">
        <v>10034</v>
      </c>
      <c r="K809">
        <v>1</v>
      </c>
      <c r="L809">
        <v>0</v>
      </c>
      <c r="M809">
        <v>99.17</v>
      </c>
    </row>
    <row r="810" spans="1:13">
      <c r="A810" s="1">
        <f>HYPERLINK("https://lsnyc.legalserver.org/matter/dynamic-profile/view/0804116","16-0804116")</f>
        <v>0</v>
      </c>
      <c r="B810" t="s">
        <v>13</v>
      </c>
      <c r="C810" t="s">
        <v>467</v>
      </c>
      <c r="D810" t="s">
        <v>1188</v>
      </c>
      <c r="E810" t="s">
        <v>1879</v>
      </c>
      <c r="F810" t="s">
        <v>2091</v>
      </c>
      <c r="G810">
        <v>11225</v>
      </c>
      <c r="K810">
        <v>2</v>
      </c>
      <c r="L810">
        <v>0</v>
      </c>
      <c r="M810">
        <v>99.33</v>
      </c>
    </row>
    <row r="811" spans="1:13">
      <c r="A811" s="1">
        <f>HYPERLINK("https://lsnyc.legalserver.org/matter/dynamic-profile/view/0828383","17-0828383")</f>
        <v>0</v>
      </c>
      <c r="B811" t="s">
        <v>13</v>
      </c>
      <c r="C811" t="s">
        <v>468</v>
      </c>
      <c r="D811" t="s">
        <v>1189</v>
      </c>
      <c r="E811" t="s">
        <v>1880</v>
      </c>
      <c r="F811" t="s">
        <v>2089</v>
      </c>
      <c r="G811">
        <v>10472</v>
      </c>
      <c r="K811">
        <v>1</v>
      </c>
      <c r="L811">
        <v>0</v>
      </c>
      <c r="M811">
        <v>99.5</v>
      </c>
    </row>
    <row r="812" spans="1:13">
      <c r="A812" s="1">
        <f>HYPERLINK("https://lsnyc.legalserver.org/matter/dynamic-profile/view/1843148","17-1843148")</f>
        <v>0</v>
      </c>
      <c r="B812" t="s">
        <v>13</v>
      </c>
      <c r="C812" t="s">
        <v>469</v>
      </c>
      <c r="D812" t="s">
        <v>1190</v>
      </c>
      <c r="E812" t="s">
        <v>1472</v>
      </c>
      <c r="F812" t="s">
        <v>2090</v>
      </c>
      <c r="G812">
        <v>10314</v>
      </c>
      <c r="K812">
        <v>1</v>
      </c>
      <c r="L812">
        <v>0</v>
      </c>
      <c r="M812">
        <v>99.5</v>
      </c>
    </row>
    <row r="813" spans="1:13">
      <c r="A813" s="1">
        <f>HYPERLINK("https://lsnyc.legalserver.org/matter/dynamic-profile/view/1840080","17-1840080")</f>
        <v>0</v>
      </c>
      <c r="B813" t="s">
        <v>13</v>
      </c>
      <c r="C813" t="s">
        <v>470</v>
      </c>
      <c r="D813" t="s">
        <v>761</v>
      </c>
      <c r="E813" t="s">
        <v>1881</v>
      </c>
      <c r="F813" t="s">
        <v>2093</v>
      </c>
      <c r="G813">
        <v>10040</v>
      </c>
      <c r="K813">
        <v>1</v>
      </c>
      <c r="L813">
        <v>0</v>
      </c>
      <c r="M813">
        <v>99.5</v>
      </c>
    </row>
    <row r="814" spans="1:13">
      <c r="A814" s="1">
        <f>HYPERLINK("https://lsnyc.legalserver.org/matter/dynamic-profile/view/1871284","18-1871284")</f>
        <v>0</v>
      </c>
      <c r="B814" t="s">
        <v>13</v>
      </c>
      <c r="C814" t="s">
        <v>458</v>
      </c>
      <c r="D814" t="s">
        <v>807</v>
      </c>
      <c r="E814" t="s">
        <v>1448</v>
      </c>
      <c r="F814" t="s">
        <v>2091</v>
      </c>
      <c r="G814">
        <v>11212</v>
      </c>
      <c r="K814">
        <v>3</v>
      </c>
      <c r="L814">
        <v>0</v>
      </c>
      <c r="M814">
        <v>100.1</v>
      </c>
    </row>
    <row r="815" spans="1:13">
      <c r="A815" s="1">
        <f>HYPERLINK("https://lsnyc.legalserver.org/matter/dynamic-profile/view/1867294","18-1867294")</f>
        <v>0</v>
      </c>
      <c r="B815" t="s">
        <v>13</v>
      </c>
      <c r="C815" t="s">
        <v>458</v>
      </c>
      <c r="D815" t="s">
        <v>807</v>
      </c>
      <c r="E815" t="s">
        <v>1448</v>
      </c>
      <c r="F815" t="s">
        <v>2091</v>
      </c>
      <c r="G815">
        <v>11212</v>
      </c>
      <c r="K815">
        <v>3</v>
      </c>
      <c r="L815">
        <v>0</v>
      </c>
      <c r="M815">
        <v>100.1</v>
      </c>
    </row>
    <row r="816" spans="1:13">
      <c r="A816" s="1">
        <f>HYPERLINK("https://lsnyc.legalserver.org/matter/dynamic-profile/view/1869873","18-1869873")</f>
        <v>0</v>
      </c>
      <c r="B816" t="s">
        <v>13</v>
      </c>
      <c r="C816" t="s">
        <v>471</v>
      </c>
      <c r="D816" t="s">
        <v>1191</v>
      </c>
      <c r="E816" t="s">
        <v>1882</v>
      </c>
      <c r="F816" t="s">
        <v>2093</v>
      </c>
      <c r="G816">
        <v>10029</v>
      </c>
      <c r="K816">
        <v>2</v>
      </c>
      <c r="L816">
        <v>0</v>
      </c>
      <c r="M816">
        <v>100.61</v>
      </c>
    </row>
    <row r="817" spans="1:13">
      <c r="A817" s="1">
        <f>HYPERLINK("https://lsnyc.legalserver.org/matter/dynamic-profile/view/1861689","18-1861689")</f>
        <v>0</v>
      </c>
      <c r="B817" t="s">
        <v>13</v>
      </c>
      <c r="C817" t="s">
        <v>472</v>
      </c>
      <c r="D817" t="s">
        <v>1192</v>
      </c>
      <c r="E817" t="s">
        <v>1883</v>
      </c>
      <c r="F817" t="s">
        <v>2089</v>
      </c>
      <c r="G817">
        <v>10468</v>
      </c>
      <c r="K817">
        <v>3</v>
      </c>
      <c r="L817">
        <v>0</v>
      </c>
      <c r="M817">
        <v>100.85</v>
      </c>
    </row>
    <row r="818" spans="1:13">
      <c r="A818" s="1">
        <f>HYPERLINK("https://lsnyc.legalserver.org/matter/dynamic-profile/view/0802856","16-0802856")</f>
        <v>0</v>
      </c>
      <c r="B818" t="s">
        <v>13</v>
      </c>
      <c r="C818" t="s">
        <v>473</v>
      </c>
      <c r="D818" t="s">
        <v>1193</v>
      </c>
      <c r="E818" t="s">
        <v>1867</v>
      </c>
      <c r="F818" t="s">
        <v>2091</v>
      </c>
      <c r="G818">
        <v>11213</v>
      </c>
      <c r="K818">
        <v>1</v>
      </c>
      <c r="L818">
        <v>0</v>
      </c>
      <c r="M818">
        <v>101.01</v>
      </c>
    </row>
    <row r="819" spans="1:13">
      <c r="A819" s="1">
        <f>HYPERLINK("https://lsnyc.legalserver.org/matter/dynamic-profile/view/1856415","18-1856415")</f>
        <v>0</v>
      </c>
      <c r="B819" t="s">
        <v>13</v>
      </c>
      <c r="C819" t="s">
        <v>474</v>
      </c>
      <c r="D819" t="s">
        <v>1194</v>
      </c>
      <c r="E819" t="s">
        <v>1884</v>
      </c>
      <c r="F819" t="s">
        <v>2090</v>
      </c>
      <c r="G819">
        <v>10302</v>
      </c>
      <c r="K819">
        <v>2</v>
      </c>
      <c r="L819">
        <v>0</v>
      </c>
      <c r="M819">
        <v>101.31</v>
      </c>
    </row>
    <row r="820" spans="1:13">
      <c r="A820" s="1">
        <f>HYPERLINK("https://lsnyc.legalserver.org/matter/dynamic-profile/view/1836150","17-1836150")</f>
        <v>0</v>
      </c>
      <c r="B820" t="s">
        <v>13</v>
      </c>
      <c r="C820" t="s">
        <v>458</v>
      </c>
      <c r="D820" t="s">
        <v>807</v>
      </c>
      <c r="E820" t="s">
        <v>1448</v>
      </c>
      <c r="F820" t="s">
        <v>2091</v>
      </c>
      <c r="G820">
        <v>11212</v>
      </c>
      <c r="K820">
        <v>3</v>
      </c>
      <c r="L820">
        <v>0</v>
      </c>
      <c r="M820">
        <v>101.86</v>
      </c>
    </row>
    <row r="821" spans="1:13">
      <c r="A821" s="1">
        <f>HYPERLINK("https://lsnyc.legalserver.org/matter/dynamic-profile/view/1863128","18-1863128")</f>
        <v>0</v>
      </c>
      <c r="B821" t="s">
        <v>13</v>
      </c>
      <c r="C821" t="s">
        <v>475</v>
      </c>
      <c r="D821" t="s">
        <v>705</v>
      </c>
      <c r="E821" t="s">
        <v>1642</v>
      </c>
      <c r="F821" t="s">
        <v>2091</v>
      </c>
      <c r="G821">
        <v>11212</v>
      </c>
      <c r="K821">
        <v>2</v>
      </c>
      <c r="L821">
        <v>0</v>
      </c>
      <c r="M821">
        <v>102.07</v>
      </c>
    </row>
    <row r="822" spans="1:13">
      <c r="A822" s="1">
        <f>HYPERLINK("https://lsnyc.legalserver.org/matter/dynamic-profile/view/1852468","17-1852468")</f>
        <v>0</v>
      </c>
      <c r="B822" t="s">
        <v>13</v>
      </c>
      <c r="C822" t="s">
        <v>266</v>
      </c>
      <c r="D822" t="s">
        <v>1171</v>
      </c>
      <c r="E822" t="s">
        <v>1885</v>
      </c>
      <c r="F822" t="s">
        <v>2093</v>
      </c>
      <c r="G822">
        <v>10034</v>
      </c>
      <c r="K822">
        <v>3</v>
      </c>
      <c r="L822">
        <v>0</v>
      </c>
      <c r="M822">
        <v>102.37</v>
      </c>
    </row>
    <row r="823" spans="1:13">
      <c r="A823" s="1">
        <f>HYPERLINK("https://lsnyc.legalserver.org/matter/dynamic-profile/view/1856862","18-1856862")</f>
        <v>0</v>
      </c>
      <c r="B823" t="s">
        <v>13</v>
      </c>
      <c r="C823" t="s">
        <v>136</v>
      </c>
      <c r="D823" t="s">
        <v>1195</v>
      </c>
      <c r="E823" t="s">
        <v>1666</v>
      </c>
      <c r="F823" t="s">
        <v>2093</v>
      </c>
      <c r="G823">
        <v>10040</v>
      </c>
      <c r="K823">
        <v>1</v>
      </c>
      <c r="L823">
        <v>0</v>
      </c>
      <c r="M823">
        <v>102.79</v>
      </c>
    </row>
    <row r="824" spans="1:13">
      <c r="A824" s="1">
        <f>HYPERLINK("https://lsnyc.legalserver.org/matter/dynamic-profile/view/1840151","17-1840151")</f>
        <v>0</v>
      </c>
      <c r="B824" t="s">
        <v>13</v>
      </c>
      <c r="C824" t="s">
        <v>476</v>
      </c>
      <c r="D824" t="s">
        <v>1171</v>
      </c>
      <c r="E824" t="s">
        <v>1881</v>
      </c>
      <c r="F824" t="s">
        <v>2093</v>
      </c>
      <c r="G824">
        <v>10040</v>
      </c>
      <c r="K824">
        <v>1</v>
      </c>
      <c r="L824">
        <v>0</v>
      </c>
      <c r="M824">
        <v>102.79</v>
      </c>
    </row>
    <row r="825" spans="1:13">
      <c r="A825" s="1">
        <f>HYPERLINK("https://lsnyc.legalserver.org/matter/dynamic-profile/view/1863111","18-1863111")</f>
        <v>0</v>
      </c>
      <c r="B825" t="s">
        <v>13</v>
      </c>
      <c r="C825" t="s">
        <v>39</v>
      </c>
      <c r="D825" t="s">
        <v>1180</v>
      </c>
      <c r="E825" t="s">
        <v>1886</v>
      </c>
      <c r="F825" t="s">
        <v>2093</v>
      </c>
      <c r="G825">
        <v>10034</v>
      </c>
      <c r="K825">
        <v>1</v>
      </c>
      <c r="L825">
        <v>0</v>
      </c>
      <c r="M825">
        <v>102.8</v>
      </c>
    </row>
    <row r="826" spans="1:13">
      <c r="A826" s="1">
        <f>HYPERLINK("https://lsnyc.legalserver.org/matter/dynamic-profile/view/1864083","18-1864083")</f>
        <v>0</v>
      </c>
      <c r="B826" t="s">
        <v>13</v>
      </c>
      <c r="C826" t="s">
        <v>477</v>
      </c>
      <c r="D826" t="s">
        <v>765</v>
      </c>
      <c r="E826" t="s">
        <v>1858</v>
      </c>
      <c r="F826" t="s">
        <v>2093</v>
      </c>
      <c r="G826">
        <v>10040</v>
      </c>
      <c r="K826">
        <v>2</v>
      </c>
      <c r="L826">
        <v>0</v>
      </c>
      <c r="M826">
        <v>103.28</v>
      </c>
    </row>
    <row r="827" spans="1:13">
      <c r="A827" s="1">
        <f>HYPERLINK("https://lsnyc.legalserver.org/matter/dynamic-profile/view/1867522","18-1867522")</f>
        <v>0</v>
      </c>
      <c r="B827" t="s">
        <v>13</v>
      </c>
      <c r="C827" t="s">
        <v>478</v>
      </c>
      <c r="D827" t="s">
        <v>1196</v>
      </c>
      <c r="E827" t="s">
        <v>1887</v>
      </c>
      <c r="F827" t="s">
        <v>2091</v>
      </c>
      <c r="G827">
        <v>11226</v>
      </c>
      <c r="K827">
        <v>2</v>
      </c>
      <c r="L827">
        <v>0</v>
      </c>
      <c r="M827">
        <v>103.28</v>
      </c>
    </row>
    <row r="828" spans="1:13">
      <c r="A828" s="1">
        <f>HYPERLINK("https://lsnyc.legalserver.org/matter/dynamic-profile/view/1837947","17-1837947")</f>
        <v>0</v>
      </c>
      <c r="B828" t="s">
        <v>13</v>
      </c>
      <c r="C828" t="s">
        <v>479</v>
      </c>
      <c r="D828" t="s">
        <v>1197</v>
      </c>
      <c r="E828" t="s">
        <v>1888</v>
      </c>
      <c r="F828" t="s">
        <v>2093</v>
      </c>
      <c r="G828">
        <v>10040</v>
      </c>
      <c r="K828">
        <v>2</v>
      </c>
      <c r="L828">
        <v>0</v>
      </c>
      <c r="M828">
        <v>103.37</v>
      </c>
    </row>
    <row r="829" spans="1:13">
      <c r="A829" s="1">
        <f>HYPERLINK("https://lsnyc.legalserver.org/matter/dynamic-profile/view/1857526","18-1857526")</f>
        <v>0</v>
      </c>
      <c r="B829" t="s">
        <v>13</v>
      </c>
      <c r="C829" t="s">
        <v>377</v>
      </c>
      <c r="D829" t="s">
        <v>736</v>
      </c>
      <c r="E829" t="s">
        <v>1470</v>
      </c>
      <c r="F829" t="s">
        <v>2089</v>
      </c>
      <c r="G829">
        <v>10452</v>
      </c>
      <c r="K829">
        <v>2</v>
      </c>
      <c r="L829">
        <v>0</v>
      </c>
      <c r="M829">
        <v>103.45</v>
      </c>
    </row>
    <row r="830" spans="1:13">
      <c r="A830" s="1">
        <f>HYPERLINK("https://lsnyc.legalserver.org/matter/dynamic-profile/view/1847899","17-1847899")</f>
        <v>0</v>
      </c>
      <c r="B830" t="s">
        <v>13</v>
      </c>
      <c r="C830" t="s">
        <v>480</v>
      </c>
      <c r="D830" t="s">
        <v>1198</v>
      </c>
      <c r="E830" t="s">
        <v>1889</v>
      </c>
      <c r="F830" t="s">
        <v>2092</v>
      </c>
      <c r="G830">
        <v>11358</v>
      </c>
      <c r="K830">
        <v>2</v>
      </c>
      <c r="L830">
        <v>0</v>
      </c>
      <c r="M830">
        <v>103.45</v>
      </c>
    </row>
    <row r="831" spans="1:13">
      <c r="A831" s="1">
        <f>HYPERLINK("https://lsnyc.legalserver.org/matter/dynamic-profile/view/0820689","16-0820689")</f>
        <v>0</v>
      </c>
      <c r="B831" t="s">
        <v>13</v>
      </c>
      <c r="C831" t="s">
        <v>398</v>
      </c>
      <c r="D831" t="s">
        <v>909</v>
      </c>
      <c r="E831" t="s">
        <v>1677</v>
      </c>
      <c r="F831" t="s">
        <v>2093</v>
      </c>
      <c r="G831">
        <v>10034</v>
      </c>
      <c r="K831">
        <v>3</v>
      </c>
      <c r="L831">
        <v>0</v>
      </c>
      <c r="M831">
        <v>103.57</v>
      </c>
    </row>
    <row r="832" spans="1:13">
      <c r="A832" s="1">
        <f>HYPERLINK("https://lsnyc.legalserver.org/matter/dynamic-profile/view/1868067","18-1868067")</f>
        <v>0</v>
      </c>
      <c r="B832" t="s">
        <v>13</v>
      </c>
      <c r="C832" t="s">
        <v>481</v>
      </c>
      <c r="D832" t="s">
        <v>1121</v>
      </c>
      <c r="E832" t="s">
        <v>1890</v>
      </c>
      <c r="F832" t="s">
        <v>2091</v>
      </c>
      <c r="G832">
        <v>11209</v>
      </c>
      <c r="K832">
        <v>4</v>
      </c>
      <c r="L832">
        <v>0</v>
      </c>
      <c r="M832">
        <v>103.65</v>
      </c>
    </row>
    <row r="833" spans="1:13">
      <c r="A833" s="1">
        <f>HYPERLINK("https://lsnyc.legalserver.org/matter/dynamic-profile/view/1853022","17-1853022")</f>
        <v>0</v>
      </c>
      <c r="B833" t="s">
        <v>13</v>
      </c>
      <c r="C833" t="s">
        <v>308</v>
      </c>
      <c r="D833" t="s">
        <v>1199</v>
      </c>
      <c r="E833" t="s">
        <v>1891</v>
      </c>
      <c r="F833" t="s">
        <v>2093</v>
      </c>
      <c r="G833">
        <v>10029</v>
      </c>
      <c r="K833">
        <v>2</v>
      </c>
      <c r="L833">
        <v>0</v>
      </c>
      <c r="M833">
        <v>104.19</v>
      </c>
    </row>
    <row r="834" spans="1:13">
      <c r="A834" s="1">
        <f>HYPERLINK("https://lsnyc.legalserver.org/matter/dynamic-profile/view/1859120","18-1859120")</f>
        <v>0</v>
      </c>
      <c r="B834" t="s">
        <v>13</v>
      </c>
      <c r="C834" t="s">
        <v>482</v>
      </c>
      <c r="D834" t="s">
        <v>1200</v>
      </c>
      <c r="E834" t="s">
        <v>1892</v>
      </c>
      <c r="F834" t="s">
        <v>2093</v>
      </c>
      <c r="G834">
        <v>10034</v>
      </c>
      <c r="K834">
        <v>1</v>
      </c>
      <c r="L834">
        <v>0</v>
      </c>
      <c r="M834">
        <v>104.68</v>
      </c>
    </row>
    <row r="835" spans="1:13">
      <c r="A835" s="1">
        <f>HYPERLINK("https://lsnyc.legalserver.org/matter/dynamic-profile/view/1863506","18-1863506")</f>
        <v>0</v>
      </c>
      <c r="B835" t="s">
        <v>13</v>
      </c>
      <c r="C835" t="s">
        <v>355</v>
      </c>
      <c r="D835" t="s">
        <v>1201</v>
      </c>
      <c r="E835" t="s">
        <v>1841</v>
      </c>
      <c r="F835" t="s">
        <v>2093</v>
      </c>
      <c r="G835">
        <v>10031</v>
      </c>
      <c r="K835">
        <v>2</v>
      </c>
      <c r="L835">
        <v>0</v>
      </c>
      <c r="M835">
        <v>104.69</v>
      </c>
    </row>
    <row r="836" spans="1:13">
      <c r="A836" s="1">
        <f>HYPERLINK("https://lsnyc.legalserver.org/matter/dynamic-profile/view/1856920","18-1856920")</f>
        <v>0</v>
      </c>
      <c r="B836" t="s">
        <v>13</v>
      </c>
      <c r="C836" t="s">
        <v>112</v>
      </c>
      <c r="D836" t="s">
        <v>1202</v>
      </c>
      <c r="E836" t="s">
        <v>1438</v>
      </c>
      <c r="F836" t="s">
        <v>2089</v>
      </c>
      <c r="G836">
        <v>10453</v>
      </c>
      <c r="K836">
        <v>2</v>
      </c>
      <c r="L836">
        <v>0</v>
      </c>
      <c r="M836">
        <v>105.15</v>
      </c>
    </row>
    <row r="837" spans="1:13">
      <c r="A837" s="1">
        <f>HYPERLINK("https://lsnyc.legalserver.org/matter/dynamic-profile/view/1863534","18-1863534")</f>
        <v>0</v>
      </c>
      <c r="B837" t="s">
        <v>13</v>
      </c>
      <c r="C837" t="s">
        <v>355</v>
      </c>
      <c r="D837" t="s">
        <v>1201</v>
      </c>
      <c r="E837" t="s">
        <v>1841</v>
      </c>
      <c r="F837" t="s">
        <v>2093</v>
      </c>
      <c r="G837">
        <v>10031</v>
      </c>
      <c r="K837">
        <v>2</v>
      </c>
      <c r="L837">
        <v>0</v>
      </c>
      <c r="M837">
        <v>105.24</v>
      </c>
    </row>
    <row r="838" spans="1:13">
      <c r="A838" s="1">
        <f>HYPERLINK("https://lsnyc.legalserver.org/matter/dynamic-profile/view/1864195","18-1864195")</f>
        <v>0</v>
      </c>
      <c r="B838" t="s">
        <v>13</v>
      </c>
      <c r="C838" t="s">
        <v>137</v>
      </c>
      <c r="D838" t="s">
        <v>1132</v>
      </c>
      <c r="E838" t="s">
        <v>1846</v>
      </c>
      <c r="F838" t="s">
        <v>2091</v>
      </c>
      <c r="G838">
        <v>11226</v>
      </c>
      <c r="K838">
        <v>3</v>
      </c>
      <c r="L838">
        <v>0</v>
      </c>
      <c r="M838">
        <v>105.39</v>
      </c>
    </row>
    <row r="839" spans="1:13">
      <c r="A839" s="1">
        <f>HYPERLINK("https://lsnyc.legalserver.org/matter/dynamic-profile/view/0812102","16-0812102")</f>
        <v>0</v>
      </c>
      <c r="B839" t="s">
        <v>13</v>
      </c>
      <c r="C839" t="s">
        <v>483</v>
      </c>
      <c r="D839" t="s">
        <v>715</v>
      </c>
      <c r="E839" t="s">
        <v>1893</v>
      </c>
      <c r="F839" t="s">
        <v>2091</v>
      </c>
      <c r="G839">
        <v>11212</v>
      </c>
      <c r="K839">
        <v>4</v>
      </c>
      <c r="L839">
        <v>0</v>
      </c>
      <c r="M839">
        <v>105.43</v>
      </c>
    </row>
    <row r="840" spans="1:13">
      <c r="A840" s="1">
        <f>HYPERLINK("https://lsnyc.legalserver.org/matter/dynamic-profile/view/0789364","15-0789364")</f>
        <v>0</v>
      </c>
      <c r="B840" t="s">
        <v>13</v>
      </c>
      <c r="C840" t="s">
        <v>377</v>
      </c>
      <c r="D840" t="s">
        <v>736</v>
      </c>
      <c r="E840" t="s">
        <v>1470</v>
      </c>
      <c r="F840" t="s">
        <v>2089</v>
      </c>
      <c r="G840">
        <v>10452</v>
      </c>
      <c r="K840">
        <v>2</v>
      </c>
      <c r="L840">
        <v>0</v>
      </c>
      <c r="M840">
        <v>105.46</v>
      </c>
    </row>
    <row r="841" spans="1:13">
      <c r="A841" s="1">
        <f>HYPERLINK("https://lsnyc.legalserver.org/matter/dynamic-profile/view/1839297","17-1839297")</f>
        <v>0</v>
      </c>
      <c r="B841" t="s">
        <v>13</v>
      </c>
      <c r="C841" t="s">
        <v>484</v>
      </c>
      <c r="D841" t="s">
        <v>738</v>
      </c>
      <c r="E841" t="s">
        <v>1894</v>
      </c>
      <c r="F841" t="s">
        <v>2093</v>
      </c>
      <c r="G841">
        <v>10033</v>
      </c>
      <c r="K841">
        <v>2</v>
      </c>
      <c r="L841">
        <v>0</v>
      </c>
      <c r="M841">
        <v>105.67</v>
      </c>
    </row>
    <row r="842" spans="1:13">
      <c r="A842" s="1">
        <f>HYPERLINK("https://lsnyc.legalserver.org/matter/dynamic-profile/view/1867904","18-1867904")</f>
        <v>0</v>
      </c>
      <c r="B842" t="s">
        <v>13</v>
      </c>
      <c r="C842" t="s">
        <v>485</v>
      </c>
      <c r="D842" t="s">
        <v>1203</v>
      </c>
      <c r="E842" t="s">
        <v>1895</v>
      </c>
      <c r="F842" t="s">
        <v>2093</v>
      </c>
      <c r="G842">
        <v>10031</v>
      </c>
      <c r="K842">
        <v>1</v>
      </c>
      <c r="L842">
        <v>0</v>
      </c>
      <c r="M842">
        <v>105.86</v>
      </c>
    </row>
    <row r="843" spans="1:13">
      <c r="A843" s="1">
        <f>HYPERLINK("https://lsnyc.legalserver.org/matter/dynamic-profile/view/1863899","18-1863899")</f>
        <v>0</v>
      </c>
      <c r="B843" t="s">
        <v>13</v>
      </c>
      <c r="C843" t="s">
        <v>486</v>
      </c>
      <c r="D843" t="s">
        <v>1204</v>
      </c>
      <c r="E843" t="s">
        <v>1896</v>
      </c>
      <c r="F843" t="s">
        <v>2090</v>
      </c>
      <c r="G843">
        <v>10301</v>
      </c>
      <c r="K843">
        <v>1</v>
      </c>
      <c r="L843">
        <v>0</v>
      </c>
      <c r="M843">
        <v>105.96</v>
      </c>
    </row>
    <row r="844" spans="1:13">
      <c r="A844" s="1">
        <f>HYPERLINK("https://lsnyc.legalserver.org/matter/dynamic-profile/view/1838024","17-1838024")</f>
        <v>0</v>
      </c>
      <c r="B844" t="s">
        <v>13</v>
      </c>
      <c r="C844" t="s">
        <v>487</v>
      </c>
      <c r="D844" t="s">
        <v>15</v>
      </c>
      <c r="E844" t="s">
        <v>1795</v>
      </c>
      <c r="F844" t="s">
        <v>2089</v>
      </c>
      <c r="G844">
        <v>10473</v>
      </c>
      <c r="K844">
        <v>4</v>
      </c>
      <c r="L844">
        <v>0</v>
      </c>
      <c r="M844">
        <v>106.34</v>
      </c>
    </row>
    <row r="845" spans="1:13">
      <c r="A845" s="1">
        <f>HYPERLINK("https://lsnyc.legalserver.org/matter/dynamic-profile/view/1853759","17-1853759")</f>
        <v>0</v>
      </c>
      <c r="B845" t="s">
        <v>13</v>
      </c>
      <c r="C845" t="s">
        <v>438</v>
      </c>
      <c r="D845" t="s">
        <v>841</v>
      </c>
      <c r="E845" t="s">
        <v>1897</v>
      </c>
      <c r="F845" t="s">
        <v>2093</v>
      </c>
      <c r="G845">
        <v>10032</v>
      </c>
      <c r="K845">
        <v>2</v>
      </c>
      <c r="L845">
        <v>0</v>
      </c>
      <c r="M845">
        <v>106.77</v>
      </c>
    </row>
    <row r="846" spans="1:13">
      <c r="A846" s="1">
        <f>HYPERLINK("https://lsnyc.legalserver.org/matter/dynamic-profile/view/0821614","16-0821614")</f>
        <v>0</v>
      </c>
      <c r="B846" t="s">
        <v>13</v>
      </c>
      <c r="C846" t="s">
        <v>488</v>
      </c>
      <c r="D846" t="s">
        <v>1205</v>
      </c>
      <c r="E846" t="s">
        <v>1471</v>
      </c>
      <c r="F846" t="s">
        <v>2089</v>
      </c>
      <c r="G846">
        <v>10452</v>
      </c>
      <c r="K846">
        <v>2</v>
      </c>
      <c r="L846">
        <v>0</v>
      </c>
      <c r="M846">
        <v>107.05</v>
      </c>
    </row>
    <row r="847" spans="1:13">
      <c r="A847" s="1">
        <f>HYPERLINK("https://lsnyc.legalserver.org/matter/dynamic-profile/view/0821616","16-0821616")</f>
        <v>0</v>
      </c>
      <c r="B847" t="s">
        <v>13</v>
      </c>
      <c r="C847" t="s">
        <v>488</v>
      </c>
      <c r="D847" t="s">
        <v>1205</v>
      </c>
      <c r="E847" t="s">
        <v>1471</v>
      </c>
      <c r="F847" t="s">
        <v>2089</v>
      </c>
      <c r="G847">
        <v>10452</v>
      </c>
      <c r="K847">
        <v>2</v>
      </c>
      <c r="L847">
        <v>0</v>
      </c>
      <c r="M847">
        <v>107.05</v>
      </c>
    </row>
    <row r="848" spans="1:13">
      <c r="A848" s="1">
        <f>HYPERLINK("https://lsnyc.legalserver.org/matter/dynamic-profile/view/1863846","18-1863846")</f>
        <v>0</v>
      </c>
      <c r="B848" t="s">
        <v>13</v>
      </c>
      <c r="C848" t="s">
        <v>113</v>
      </c>
      <c r="D848" t="s">
        <v>772</v>
      </c>
      <c r="E848" t="s">
        <v>1898</v>
      </c>
      <c r="F848" t="s">
        <v>2089</v>
      </c>
      <c r="G848">
        <v>10452</v>
      </c>
      <c r="K848">
        <v>1</v>
      </c>
      <c r="L848">
        <v>0</v>
      </c>
      <c r="M848">
        <v>107.08</v>
      </c>
    </row>
    <row r="849" spans="1:13">
      <c r="A849" s="1">
        <f>HYPERLINK("https://lsnyc.legalserver.org/matter/dynamic-profile/view/1865124","18-1865124")</f>
        <v>0</v>
      </c>
      <c r="B849" t="s">
        <v>13</v>
      </c>
      <c r="C849" t="s">
        <v>125</v>
      </c>
      <c r="D849" t="s">
        <v>1206</v>
      </c>
      <c r="E849" t="s">
        <v>1899</v>
      </c>
      <c r="F849" t="s">
        <v>2091</v>
      </c>
      <c r="G849">
        <v>11217</v>
      </c>
      <c r="K849">
        <v>1</v>
      </c>
      <c r="L849">
        <v>0</v>
      </c>
      <c r="M849">
        <v>107.08</v>
      </c>
    </row>
    <row r="850" spans="1:13">
      <c r="A850" s="1">
        <f>HYPERLINK("https://lsnyc.legalserver.org/matter/dynamic-profile/view/0828920","17-0828920")</f>
        <v>0</v>
      </c>
      <c r="B850" t="s">
        <v>13</v>
      </c>
      <c r="C850" t="s">
        <v>342</v>
      </c>
      <c r="D850" t="s">
        <v>736</v>
      </c>
      <c r="E850" t="s">
        <v>1900</v>
      </c>
      <c r="F850" t="s">
        <v>2089</v>
      </c>
      <c r="G850">
        <v>10472</v>
      </c>
      <c r="K850">
        <v>2</v>
      </c>
      <c r="L850">
        <v>0</v>
      </c>
      <c r="M850">
        <v>107.49</v>
      </c>
    </row>
    <row r="851" spans="1:13">
      <c r="A851" s="1">
        <f>HYPERLINK("https://lsnyc.legalserver.org/matter/dynamic-profile/view/1853967","17-1853967")</f>
        <v>0</v>
      </c>
      <c r="B851" t="s">
        <v>13</v>
      </c>
      <c r="C851" t="s">
        <v>489</v>
      </c>
      <c r="D851" t="s">
        <v>1207</v>
      </c>
      <c r="E851" t="s">
        <v>1901</v>
      </c>
      <c r="F851" t="s">
        <v>2093</v>
      </c>
      <c r="G851">
        <v>10034</v>
      </c>
      <c r="K851">
        <v>1</v>
      </c>
      <c r="L851">
        <v>0</v>
      </c>
      <c r="M851">
        <v>107.65</v>
      </c>
    </row>
    <row r="852" spans="1:13">
      <c r="A852" s="1">
        <f>HYPERLINK("https://lsnyc.legalserver.org/matter/dynamic-profile/view/1835269","17-1835269")</f>
        <v>0</v>
      </c>
      <c r="B852" t="s">
        <v>13</v>
      </c>
      <c r="C852" t="s">
        <v>490</v>
      </c>
      <c r="D852" t="s">
        <v>64</v>
      </c>
      <c r="E852" t="s">
        <v>1902</v>
      </c>
      <c r="F852" t="s">
        <v>2089</v>
      </c>
      <c r="G852">
        <v>10473</v>
      </c>
      <c r="K852">
        <v>3</v>
      </c>
      <c r="L852">
        <v>0</v>
      </c>
      <c r="M852">
        <v>107.74</v>
      </c>
    </row>
    <row r="853" spans="1:13">
      <c r="A853" s="1">
        <f>HYPERLINK("https://lsnyc.legalserver.org/matter/dynamic-profile/view/1852592","17-1852592")</f>
        <v>0</v>
      </c>
      <c r="B853" t="s">
        <v>13</v>
      </c>
      <c r="C853" t="s">
        <v>491</v>
      </c>
      <c r="D853" t="s">
        <v>1141</v>
      </c>
      <c r="E853" t="s">
        <v>1903</v>
      </c>
      <c r="F853" t="s">
        <v>2089</v>
      </c>
      <c r="G853">
        <v>10452</v>
      </c>
      <c r="K853">
        <v>1</v>
      </c>
      <c r="L853">
        <v>0</v>
      </c>
      <c r="M853">
        <v>107.79</v>
      </c>
    </row>
    <row r="854" spans="1:13">
      <c r="A854" s="1">
        <f>HYPERLINK("https://lsnyc.legalserver.org/matter/dynamic-profile/view/1857284","18-1857284")</f>
        <v>0</v>
      </c>
      <c r="B854" t="s">
        <v>13</v>
      </c>
      <c r="C854" t="s">
        <v>492</v>
      </c>
      <c r="D854" t="s">
        <v>1208</v>
      </c>
      <c r="E854" t="s">
        <v>1470</v>
      </c>
      <c r="F854" t="s">
        <v>2089</v>
      </c>
      <c r="G854">
        <v>10452</v>
      </c>
      <c r="K854">
        <v>1</v>
      </c>
      <c r="L854">
        <v>0</v>
      </c>
      <c r="M854">
        <v>107.79</v>
      </c>
    </row>
    <row r="855" spans="1:13">
      <c r="A855" s="1">
        <f>HYPERLINK("https://lsnyc.legalserver.org/matter/dynamic-profile/view/1847647","17-1847647")</f>
        <v>0</v>
      </c>
      <c r="B855" t="s">
        <v>13</v>
      </c>
      <c r="C855" t="s">
        <v>493</v>
      </c>
      <c r="D855" t="s">
        <v>1209</v>
      </c>
      <c r="E855" t="s">
        <v>1606</v>
      </c>
      <c r="F855" t="s">
        <v>2093</v>
      </c>
      <c r="G855">
        <v>10034</v>
      </c>
      <c r="K855">
        <v>1</v>
      </c>
      <c r="L855">
        <v>0</v>
      </c>
      <c r="M855">
        <v>107.79</v>
      </c>
    </row>
    <row r="856" spans="1:13">
      <c r="A856" s="1">
        <f>HYPERLINK("https://lsnyc.legalserver.org/matter/dynamic-profile/view/1844569","17-1844569")</f>
        <v>0</v>
      </c>
      <c r="B856" t="s">
        <v>13</v>
      </c>
      <c r="C856" t="s">
        <v>298</v>
      </c>
      <c r="D856" t="s">
        <v>1210</v>
      </c>
      <c r="E856" t="s">
        <v>1904</v>
      </c>
      <c r="F856" t="s">
        <v>2091</v>
      </c>
      <c r="G856">
        <v>11249</v>
      </c>
      <c r="K856">
        <v>1</v>
      </c>
      <c r="L856">
        <v>0</v>
      </c>
      <c r="M856">
        <v>107.79</v>
      </c>
    </row>
    <row r="857" spans="1:13">
      <c r="A857" s="1">
        <f>HYPERLINK("https://lsnyc.legalserver.org/matter/dynamic-profile/view/1840732","17-1840732")</f>
        <v>0</v>
      </c>
      <c r="B857" t="s">
        <v>14</v>
      </c>
      <c r="C857" t="s">
        <v>494</v>
      </c>
      <c r="D857" t="s">
        <v>1211</v>
      </c>
      <c r="E857" t="s">
        <v>1905</v>
      </c>
      <c r="F857" t="s">
        <v>2089</v>
      </c>
      <c r="G857">
        <v>10460</v>
      </c>
      <c r="K857">
        <v>1</v>
      </c>
      <c r="L857">
        <v>0</v>
      </c>
      <c r="M857">
        <v>107.79</v>
      </c>
    </row>
    <row r="858" spans="1:13">
      <c r="A858" s="1">
        <f>HYPERLINK("https://lsnyc.legalserver.org/matter/dynamic-profile/view/1852249","17-1852249")</f>
        <v>0</v>
      </c>
      <c r="B858" t="s">
        <v>13</v>
      </c>
      <c r="C858" t="s">
        <v>495</v>
      </c>
      <c r="D858" t="s">
        <v>1212</v>
      </c>
      <c r="E858" t="s">
        <v>1906</v>
      </c>
      <c r="F858" t="s">
        <v>2090</v>
      </c>
      <c r="G858">
        <v>10301</v>
      </c>
      <c r="K858">
        <v>1</v>
      </c>
      <c r="L858">
        <v>0</v>
      </c>
      <c r="M858">
        <v>107.86</v>
      </c>
    </row>
    <row r="859" spans="1:13">
      <c r="A859" s="1">
        <f>HYPERLINK("https://lsnyc.legalserver.org/matter/dynamic-profile/view/0802610","16-0802610")</f>
        <v>0</v>
      </c>
      <c r="B859" t="s">
        <v>13</v>
      </c>
      <c r="C859" t="s">
        <v>496</v>
      </c>
      <c r="D859" t="s">
        <v>1213</v>
      </c>
      <c r="E859" t="s">
        <v>1819</v>
      </c>
      <c r="F859" t="s">
        <v>2089</v>
      </c>
      <c r="G859">
        <v>10452</v>
      </c>
      <c r="K859">
        <v>2</v>
      </c>
      <c r="L859">
        <v>0</v>
      </c>
      <c r="M859">
        <v>108.61</v>
      </c>
    </row>
    <row r="860" spans="1:13">
      <c r="A860" s="1">
        <f>HYPERLINK("https://lsnyc.legalserver.org/matter/dynamic-profile/view/1859588","18-1859588")</f>
        <v>0</v>
      </c>
      <c r="B860" t="s">
        <v>13</v>
      </c>
      <c r="C860" t="s">
        <v>497</v>
      </c>
      <c r="D860" t="s">
        <v>1214</v>
      </c>
      <c r="E860" t="s">
        <v>1907</v>
      </c>
      <c r="F860" t="s">
        <v>2111</v>
      </c>
      <c r="G860">
        <v>11101</v>
      </c>
      <c r="K860">
        <v>2</v>
      </c>
      <c r="L860">
        <v>0</v>
      </c>
      <c r="M860">
        <v>108.63</v>
      </c>
    </row>
    <row r="861" spans="1:13">
      <c r="A861" s="1">
        <f>HYPERLINK("https://lsnyc.legalserver.org/matter/dynamic-profile/view/1870297","18-1870297")</f>
        <v>0</v>
      </c>
      <c r="B861" t="s">
        <v>13</v>
      </c>
      <c r="C861" t="s">
        <v>113</v>
      </c>
      <c r="D861" t="s">
        <v>1215</v>
      </c>
      <c r="E861" t="s">
        <v>1908</v>
      </c>
      <c r="F861" t="s">
        <v>2089</v>
      </c>
      <c r="G861">
        <v>10457</v>
      </c>
      <c r="K861">
        <v>1</v>
      </c>
      <c r="L861">
        <v>0</v>
      </c>
      <c r="M861">
        <v>108.73</v>
      </c>
    </row>
    <row r="862" spans="1:13">
      <c r="A862" s="1">
        <f>HYPERLINK("https://lsnyc.legalserver.org/matter/dynamic-profile/view/1861226","18-1861226")</f>
        <v>0</v>
      </c>
      <c r="B862" t="s">
        <v>13</v>
      </c>
      <c r="C862" t="s">
        <v>90</v>
      </c>
      <c r="D862" t="s">
        <v>1216</v>
      </c>
      <c r="E862" t="s">
        <v>1841</v>
      </c>
      <c r="F862" t="s">
        <v>2093</v>
      </c>
      <c r="G862">
        <v>10031</v>
      </c>
      <c r="K862">
        <v>2</v>
      </c>
      <c r="L862">
        <v>0</v>
      </c>
      <c r="M862">
        <v>108.85</v>
      </c>
    </row>
    <row r="863" spans="1:13">
      <c r="A863" s="1">
        <f>HYPERLINK("https://lsnyc.legalserver.org/matter/dynamic-profile/view/1867877","18-1867877")</f>
        <v>0</v>
      </c>
      <c r="B863" t="s">
        <v>13</v>
      </c>
      <c r="C863" t="s">
        <v>45</v>
      </c>
      <c r="D863" t="s">
        <v>995</v>
      </c>
      <c r="E863" t="s">
        <v>1512</v>
      </c>
      <c r="F863" t="s">
        <v>2093</v>
      </c>
      <c r="G863">
        <v>10029</v>
      </c>
      <c r="K863">
        <v>1</v>
      </c>
      <c r="L863">
        <v>0</v>
      </c>
      <c r="M863">
        <v>108.87</v>
      </c>
    </row>
    <row r="864" spans="1:13">
      <c r="A864" s="1">
        <f>HYPERLINK("https://lsnyc.legalserver.org/matter/dynamic-profile/view/0802735","16-0802735")</f>
        <v>0</v>
      </c>
      <c r="B864" t="s">
        <v>13</v>
      </c>
      <c r="C864" t="s">
        <v>365</v>
      </c>
      <c r="D864" t="s">
        <v>1217</v>
      </c>
      <c r="E864" t="s">
        <v>1599</v>
      </c>
      <c r="F864" t="s">
        <v>2089</v>
      </c>
      <c r="G864">
        <v>10452</v>
      </c>
      <c r="K864">
        <v>2</v>
      </c>
      <c r="L864">
        <v>0</v>
      </c>
      <c r="M864">
        <v>109.06</v>
      </c>
    </row>
    <row r="865" spans="1:13">
      <c r="A865" s="1">
        <f>HYPERLINK("https://lsnyc.legalserver.org/matter/dynamic-profile/view/1871661","18-1871661")</f>
        <v>0</v>
      </c>
      <c r="B865" t="s">
        <v>13</v>
      </c>
      <c r="C865" t="s">
        <v>498</v>
      </c>
      <c r="D865" t="s">
        <v>577</v>
      </c>
      <c r="E865" t="s">
        <v>1448</v>
      </c>
      <c r="F865" t="s">
        <v>2091</v>
      </c>
      <c r="G865">
        <v>11212</v>
      </c>
      <c r="K865">
        <v>1</v>
      </c>
      <c r="L865">
        <v>0</v>
      </c>
      <c r="M865">
        <v>109.28</v>
      </c>
    </row>
    <row r="866" spans="1:13">
      <c r="A866" s="1">
        <f>HYPERLINK("https://lsnyc.legalserver.org/matter/dynamic-profile/view/1867084","18-1867084")</f>
        <v>0</v>
      </c>
      <c r="B866" t="s">
        <v>13</v>
      </c>
      <c r="C866" t="s">
        <v>498</v>
      </c>
      <c r="D866" t="s">
        <v>577</v>
      </c>
      <c r="E866" t="s">
        <v>1448</v>
      </c>
      <c r="F866" t="s">
        <v>2091</v>
      </c>
      <c r="G866">
        <v>11212</v>
      </c>
      <c r="K866">
        <v>1</v>
      </c>
      <c r="L866">
        <v>0</v>
      </c>
      <c r="M866">
        <v>109.28</v>
      </c>
    </row>
    <row r="867" spans="1:13">
      <c r="A867" s="1">
        <f>HYPERLINK("https://lsnyc.legalserver.org/matter/dynamic-profile/view/1871348","18-1871348")</f>
        <v>0</v>
      </c>
      <c r="B867" t="s">
        <v>13</v>
      </c>
      <c r="C867" t="s">
        <v>498</v>
      </c>
      <c r="D867" t="s">
        <v>577</v>
      </c>
      <c r="E867" t="s">
        <v>1448</v>
      </c>
      <c r="F867" t="s">
        <v>2091</v>
      </c>
      <c r="G867">
        <v>11212</v>
      </c>
      <c r="K867">
        <v>1</v>
      </c>
      <c r="L867">
        <v>0</v>
      </c>
      <c r="M867">
        <v>109.28</v>
      </c>
    </row>
    <row r="868" spans="1:13">
      <c r="A868" s="1">
        <f>HYPERLINK("https://lsnyc.legalserver.org/matter/dynamic-profile/view/0823544","16-0823544")</f>
        <v>0</v>
      </c>
      <c r="B868" t="s">
        <v>13</v>
      </c>
      <c r="C868" t="s">
        <v>492</v>
      </c>
      <c r="D868" t="s">
        <v>1208</v>
      </c>
      <c r="E868" t="s">
        <v>1470</v>
      </c>
      <c r="F868" t="s">
        <v>2089</v>
      </c>
      <c r="G868">
        <v>10452</v>
      </c>
      <c r="K868">
        <v>1</v>
      </c>
      <c r="L868">
        <v>0</v>
      </c>
      <c r="M868">
        <v>109.43</v>
      </c>
    </row>
    <row r="869" spans="1:13">
      <c r="A869" s="1">
        <f>HYPERLINK("https://lsnyc.legalserver.org/matter/dynamic-profile/view/0814907","16-0814907")</f>
        <v>0</v>
      </c>
      <c r="B869" t="s">
        <v>13</v>
      </c>
      <c r="C869" t="s">
        <v>472</v>
      </c>
      <c r="D869" t="s">
        <v>1122</v>
      </c>
      <c r="E869" t="s">
        <v>1909</v>
      </c>
      <c r="F869" t="s">
        <v>2091</v>
      </c>
      <c r="G869">
        <v>11212</v>
      </c>
      <c r="K869">
        <v>1</v>
      </c>
      <c r="L869">
        <v>0</v>
      </c>
      <c r="M869">
        <v>109.43</v>
      </c>
    </row>
    <row r="870" spans="1:13">
      <c r="A870" s="1">
        <f>HYPERLINK("https://lsnyc.legalserver.org/matter/dynamic-profile/view/0831618","17-0831618")</f>
        <v>0</v>
      </c>
      <c r="B870" t="s">
        <v>13</v>
      </c>
      <c r="C870" t="s">
        <v>491</v>
      </c>
      <c r="D870" t="s">
        <v>1218</v>
      </c>
      <c r="E870" t="s">
        <v>1910</v>
      </c>
      <c r="F870" t="s">
        <v>2091</v>
      </c>
      <c r="G870">
        <v>11203</v>
      </c>
      <c r="K870">
        <v>1</v>
      </c>
      <c r="L870">
        <v>0</v>
      </c>
      <c r="M870">
        <v>109.45</v>
      </c>
    </row>
    <row r="871" spans="1:13">
      <c r="A871" s="1">
        <f>HYPERLINK("https://lsnyc.legalserver.org/matter/dynamic-profile/view/1862949","18-1862949")</f>
        <v>0</v>
      </c>
      <c r="B871" t="s">
        <v>13</v>
      </c>
      <c r="C871" t="s">
        <v>159</v>
      </c>
      <c r="D871" t="s">
        <v>1219</v>
      </c>
      <c r="E871" t="s">
        <v>1911</v>
      </c>
      <c r="F871" t="s">
        <v>2112</v>
      </c>
      <c r="G871">
        <v>11418</v>
      </c>
      <c r="K871">
        <v>1</v>
      </c>
      <c r="L871">
        <v>0</v>
      </c>
      <c r="M871">
        <v>109.72</v>
      </c>
    </row>
    <row r="872" spans="1:13">
      <c r="A872" s="1">
        <f>HYPERLINK("https://lsnyc.legalserver.org/matter/dynamic-profile/view/1858600","18-1858600")</f>
        <v>0</v>
      </c>
      <c r="B872" t="s">
        <v>13</v>
      </c>
      <c r="C872" t="s">
        <v>499</v>
      </c>
      <c r="D872" t="s">
        <v>1220</v>
      </c>
      <c r="E872" t="s">
        <v>1464</v>
      </c>
      <c r="F872" t="s">
        <v>2094</v>
      </c>
      <c r="G872">
        <v>11432</v>
      </c>
      <c r="K872">
        <v>4</v>
      </c>
      <c r="L872">
        <v>0</v>
      </c>
      <c r="M872">
        <v>109.76</v>
      </c>
    </row>
    <row r="873" spans="1:13">
      <c r="A873" s="1">
        <f>HYPERLINK("https://lsnyc.legalserver.org/matter/dynamic-profile/view/1836074","17-1836074")</f>
        <v>0</v>
      </c>
      <c r="B873" t="s">
        <v>13</v>
      </c>
      <c r="C873" t="s">
        <v>498</v>
      </c>
      <c r="D873" t="s">
        <v>577</v>
      </c>
      <c r="E873" t="s">
        <v>1448</v>
      </c>
      <c r="F873" t="s">
        <v>2091</v>
      </c>
      <c r="G873">
        <v>11212</v>
      </c>
      <c r="K873">
        <v>1</v>
      </c>
      <c r="L873">
        <v>0</v>
      </c>
      <c r="M873">
        <v>110.01</v>
      </c>
    </row>
    <row r="874" spans="1:13">
      <c r="A874" s="1">
        <f>HYPERLINK("https://lsnyc.legalserver.org/matter/dynamic-profile/view/1836073","17-1836073")</f>
        <v>0</v>
      </c>
      <c r="B874" t="s">
        <v>13</v>
      </c>
      <c r="C874" t="s">
        <v>498</v>
      </c>
      <c r="D874" t="s">
        <v>577</v>
      </c>
      <c r="E874" t="s">
        <v>1448</v>
      </c>
      <c r="F874" t="s">
        <v>2091</v>
      </c>
      <c r="G874">
        <v>11212</v>
      </c>
      <c r="K874">
        <v>1</v>
      </c>
      <c r="L874">
        <v>0</v>
      </c>
      <c r="M874">
        <v>110.01</v>
      </c>
    </row>
    <row r="875" spans="1:13">
      <c r="A875" s="1">
        <f>HYPERLINK("https://lsnyc.legalserver.org/matter/dynamic-profile/view/1835693","17-1835693")</f>
        <v>0</v>
      </c>
      <c r="B875" t="s">
        <v>13</v>
      </c>
      <c r="C875" t="s">
        <v>90</v>
      </c>
      <c r="D875" t="s">
        <v>1216</v>
      </c>
      <c r="E875" t="s">
        <v>1841</v>
      </c>
      <c r="F875" t="s">
        <v>2093</v>
      </c>
      <c r="G875">
        <v>10031</v>
      </c>
      <c r="K875">
        <v>2</v>
      </c>
      <c r="L875">
        <v>0</v>
      </c>
      <c r="M875">
        <v>110.32</v>
      </c>
    </row>
    <row r="876" spans="1:13">
      <c r="A876" s="1">
        <f>HYPERLINK("https://lsnyc.legalserver.org/matter/dynamic-profile/view/0796753","16-0796753")</f>
        <v>0</v>
      </c>
      <c r="B876" t="s">
        <v>13</v>
      </c>
      <c r="C876" t="s">
        <v>492</v>
      </c>
      <c r="D876" t="s">
        <v>1208</v>
      </c>
      <c r="E876" t="s">
        <v>1470</v>
      </c>
      <c r="F876" t="s">
        <v>2089</v>
      </c>
      <c r="G876">
        <v>10452</v>
      </c>
      <c r="K876">
        <v>1</v>
      </c>
      <c r="L876">
        <v>0</v>
      </c>
      <c r="M876">
        <v>110.45</v>
      </c>
    </row>
    <row r="877" spans="1:13">
      <c r="A877" s="1">
        <f>HYPERLINK("https://lsnyc.legalserver.org/matter/dynamic-profile/view/0796336","16-0796336")</f>
        <v>0</v>
      </c>
      <c r="B877" t="s">
        <v>13</v>
      </c>
      <c r="C877" t="s">
        <v>355</v>
      </c>
      <c r="D877" t="s">
        <v>1221</v>
      </c>
      <c r="E877" t="s">
        <v>1912</v>
      </c>
      <c r="F877" t="s">
        <v>2091</v>
      </c>
      <c r="G877">
        <v>11213</v>
      </c>
      <c r="K877">
        <v>1</v>
      </c>
      <c r="L877">
        <v>0</v>
      </c>
      <c r="M877">
        <v>110.45</v>
      </c>
    </row>
    <row r="878" spans="1:13">
      <c r="A878" s="1">
        <f>HYPERLINK("https://lsnyc.legalserver.org/matter/dynamic-profile/view/1854958","18-1854958")</f>
        <v>0</v>
      </c>
      <c r="B878" t="s">
        <v>13</v>
      </c>
      <c r="C878" t="s">
        <v>500</v>
      </c>
      <c r="D878" t="s">
        <v>747</v>
      </c>
      <c r="E878" t="s">
        <v>1913</v>
      </c>
      <c r="F878" t="s">
        <v>2093</v>
      </c>
      <c r="G878">
        <v>10034</v>
      </c>
      <c r="K878">
        <v>3</v>
      </c>
      <c r="L878">
        <v>0</v>
      </c>
      <c r="M878">
        <v>110.6</v>
      </c>
    </row>
    <row r="879" spans="1:13">
      <c r="A879" s="1">
        <f>HYPERLINK("https://lsnyc.legalserver.org/matter/dynamic-profile/view/1867283","18-1867283")</f>
        <v>0</v>
      </c>
      <c r="B879" t="s">
        <v>13</v>
      </c>
      <c r="C879" t="s">
        <v>403</v>
      </c>
      <c r="D879" t="s">
        <v>1222</v>
      </c>
      <c r="E879" t="s">
        <v>1448</v>
      </c>
      <c r="F879" t="s">
        <v>2091</v>
      </c>
      <c r="G879">
        <v>11212</v>
      </c>
      <c r="K879">
        <v>3</v>
      </c>
      <c r="L879">
        <v>0</v>
      </c>
      <c r="M879">
        <v>110.68</v>
      </c>
    </row>
    <row r="880" spans="1:13">
      <c r="A880" s="1">
        <f>HYPERLINK("https://lsnyc.legalserver.org/matter/dynamic-profile/view/1860615","18-1860615")</f>
        <v>0</v>
      </c>
      <c r="B880" t="s">
        <v>13</v>
      </c>
      <c r="C880" t="s">
        <v>501</v>
      </c>
      <c r="D880" t="s">
        <v>1223</v>
      </c>
      <c r="E880" t="s">
        <v>1721</v>
      </c>
      <c r="F880" t="s">
        <v>2089</v>
      </c>
      <c r="G880">
        <v>10452</v>
      </c>
      <c r="K880">
        <v>1</v>
      </c>
      <c r="L880">
        <v>0</v>
      </c>
      <c r="M880">
        <v>110.71</v>
      </c>
    </row>
    <row r="881" spans="1:13">
      <c r="A881" s="1">
        <f>HYPERLINK("https://lsnyc.legalserver.org/matter/dynamic-profile/view/1850446","17-1850446")</f>
        <v>0</v>
      </c>
      <c r="B881" t="s">
        <v>13</v>
      </c>
      <c r="C881" t="s">
        <v>502</v>
      </c>
      <c r="D881" t="s">
        <v>1224</v>
      </c>
      <c r="E881" t="s">
        <v>1914</v>
      </c>
      <c r="F881" t="s">
        <v>2091</v>
      </c>
      <c r="G881">
        <v>11219</v>
      </c>
      <c r="K881">
        <v>2</v>
      </c>
      <c r="L881">
        <v>0</v>
      </c>
      <c r="M881">
        <v>110.76</v>
      </c>
    </row>
    <row r="882" spans="1:13">
      <c r="A882" s="1">
        <f>HYPERLINK("https://lsnyc.legalserver.org/matter/dynamic-profile/view/1850453","17-1850453")</f>
        <v>0</v>
      </c>
      <c r="B882" t="s">
        <v>13</v>
      </c>
      <c r="C882" t="s">
        <v>502</v>
      </c>
      <c r="D882" t="s">
        <v>1224</v>
      </c>
      <c r="E882" t="s">
        <v>1914</v>
      </c>
      <c r="F882" t="s">
        <v>2091</v>
      </c>
      <c r="G882">
        <v>11219</v>
      </c>
      <c r="K882">
        <v>2</v>
      </c>
      <c r="L882">
        <v>0</v>
      </c>
      <c r="M882">
        <v>110.76</v>
      </c>
    </row>
    <row r="883" spans="1:13">
      <c r="A883" s="1">
        <f>HYPERLINK("https://lsnyc.legalserver.org/matter/dynamic-profile/view/1838091","17-1838091")</f>
        <v>0</v>
      </c>
      <c r="B883" t="s">
        <v>13</v>
      </c>
      <c r="C883" t="s">
        <v>503</v>
      </c>
      <c r="D883" t="s">
        <v>1225</v>
      </c>
      <c r="E883" t="s">
        <v>1915</v>
      </c>
      <c r="F883" t="s">
        <v>2094</v>
      </c>
      <c r="G883">
        <v>11432</v>
      </c>
      <c r="K883">
        <v>2</v>
      </c>
      <c r="L883">
        <v>0</v>
      </c>
      <c r="M883">
        <v>110.84</v>
      </c>
    </row>
    <row r="884" spans="1:13">
      <c r="A884" s="1">
        <f>HYPERLINK("https://lsnyc.legalserver.org/matter/dynamic-profile/view/1856552","18-1856552")</f>
        <v>0</v>
      </c>
      <c r="B884" t="s">
        <v>13</v>
      </c>
      <c r="C884" t="s">
        <v>504</v>
      </c>
      <c r="D884" t="s">
        <v>1226</v>
      </c>
      <c r="E884" t="s">
        <v>1684</v>
      </c>
      <c r="F884" t="s">
        <v>2089</v>
      </c>
      <c r="G884">
        <v>10453</v>
      </c>
      <c r="K884">
        <v>1</v>
      </c>
      <c r="L884">
        <v>0</v>
      </c>
      <c r="M884">
        <v>110.95</v>
      </c>
    </row>
    <row r="885" spans="1:13">
      <c r="A885" s="1">
        <f>HYPERLINK("https://lsnyc.legalserver.org/matter/dynamic-profile/view/1859703","18-1859703")</f>
        <v>0</v>
      </c>
      <c r="B885" t="s">
        <v>13</v>
      </c>
      <c r="C885" t="s">
        <v>504</v>
      </c>
      <c r="D885" t="s">
        <v>1226</v>
      </c>
      <c r="E885" t="s">
        <v>1684</v>
      </c>
      <c r="F885" t="s">
        <v>2089</v>
      </c>
      <c r="G885">
        <v>10453</v>
      </c>
      <c r="K885">
        <v>1</v>
      </c>
      <c r="L885">
        <v>0</v>
      </c>
      <c r="M885">
        <v>110.95</v>
      </c>
    </row>
    <row r="886" spans="1:13">
      <c r="A886" s="1">
        <f>HYPERLINK("https://lsnyc.legalserver.org/matter/dynamic-profile/view/0806797","16-0806797")</f>
        <v>0</v>
      </c>
      <c r="B886" t="s">
        <v>13</v>
      </c>
      <c r="C886" t="s">
        <v>505</v>
      </c>
      <c r="D886" t="s">
        <v>713</v>
      </c>
      <c r="E886" t="s">
        <v>1916</v>
      </c>
      <c r="F886" t="s">
        <v>2093</v>
      </c>
      <c r="G886">
        <v>10034</v>
      </c>
      <c r="K886">
        <v>1</v>
      </c>
      <c r="L886">
        <v>0</v>
      </c>
      <c r="M886">
        <v>111.11</v>
      </c>
    </row>
    <row r="887" spans="1:13">
      <c r="A887" s="1">
        <f>HYPERLINK("https://lsnyc.legalserver.org/matter/dynamic-profile/view/1845604","17-1845604")</f>
        <v>0</v>
      </c>
      <c r="B887" t="s">
        <v>13</v>
      </c>
      <c r="C887" t="s">
        <v>115</v>
      </c>
      <c r="D887" t="s">
        <v>1227</v>
      </c>
      <c r="E887" t="s">
        <v>1536</v>
      </c>
      <c r="F887" t="s">
        <v>2091</v>
      </c>
      <c r="G887">
        <v>11225</v>
      </c>
      <c r="K887">
        <v>1</v>
      </c>
      <c r="L887">
        <v>0</v>
      </c>
      <c r="M887">
        <v>111.24</v>
      </c>
    </row>
    <row r="888" spans="1:13">
      <c r="A888" s="1">
        <f>HYPERLINK("https://lsnyc.legalserver.org/matter/dynamic-profile/view/0803193","16-0803193")</f>
        <v>0</v>
      </c>
      <c r="B888" t="s">
        <v>13</v>
      </c>
      <c r="C888" t="s">
        <v>506</v>
      </c>
      <c r="D888" t="s">
        <v>867</v>
      </c>
      <c r="E888" t="s">
        <v>1776</v>
      </c>
      <c r="F888" t="s">
        <v>2089</v>
      </c>
      <c r="G888">
        <v>10452</v>
      </c>
      <c r="K888">
        <v>2</v>
      </c>
      <c r="L888">
        <v>0</v>
      </c>
      <c r="M888">
        <v>111.34</v>
      </c>
    </row>
    <row r="889" spans="1:13">
      <c r="A889" s="1">
        <f>HYPERLINK("https://lsnyc.legalserver.org/matter/dynamic-profile/view/1868856","18-1868856")</f>
        <v>0</v>
      </c>
      <c r="B889" t="s">
        <v>13</v>
      </c>
      <c r="C889" t="s">
        <v>507</v>
      </c>
      <c r="D889" t="s">
        <v>854</v>
      </c>
      <c r="E889" t="s">
        <v>1917</v>
      </c>
      <c r="F889" t="s">
        <v>2089</v>
      </c>
      <c r="G889">
        <v>10460</v>
      </c>
      <c r="K889">
        <v>1</v>
      </c>
      <c r="L889">
        <v>0</v>
      </c>
      <c r="M889">
        <v>111.37</v>
      </c>
    </row>
    <row r="890" spans="1:13">
      <c r="A890" s="1">
        <f>HYPERLINK("https://lsnyc.legalserver.org/matter/dynamic-profile/view/1846617","17-1846617")</f>
        <v>0</v>
      </c>
      <c r="B890" t="s">
        <v>13</v>
      </c>
      <c r="C890" t="s">
        <v>508</v>
      </c>
      <c r="D890" t="s">
        <v>814</v>
      </c>
      <c r="E890" t="s">
        <v>1918</v>
      </c>
      <c r="F890" t="s">
        <v>2091</v>
      </c>
      <c r="G890">
        <v>11233</v>
      </c>
      <c r="K890">
        <v>1</v>
      </c>
      <c r="L890">
        <v>0</v>
      </c>
      <c r="M890">
        <v>111.64</v>
      </c>
    </row>
    <row r="891" spans="1:13">
      <c r="A891" s="1">
        <f>HYPERLINK("https://lsnyc.legalserver.org/matter/dynamic-profile/view/1853702","17-1853702")</f>
        <v>0</v>
      </c>
      <c r="B891" t="s">
        <v>13</v>
      </c>
      <c r="C891" t="s">
        <v>509</v>
      </c>
      <c r="D891" t="s">
        <v>1228</v>
      </c>
      <c r="E891" t="s">
        <v>1919</v>
      </c>
      <c r="F891" t="s">
        <v>2093</v>
      </c>
      <c r="G891">
        <v>10035</v>
      </c>
      <c r="K891">
        <v>1</v>
      </c>
      <c r="L891">
        <v>0</v>
      </c>
      <c r="M891">
        <v>111.64</v>
      </c>
    </row>
    <row r="892" spans="1:13">
      <c r="A892" s="1">
        <f>HYPERLINK("https://lsnyc.legalserver.org/matter/dynamic-profile/view/0789344","15-0789344")</f>
        <v>0</v>
      </c>
      <c r="B892" t="s">
        <v>13</v>
      </c>
      <c r="C892" t="s">
        <v>460</v>
      </c>
      <c r="D892" t="s">
        <v>854</v>
      </c>
      <c r="E892" t="s">
        <v>1470</v>
      </c>
      <c r="F892" t="s">
        <v>2089</v>
      </c>
      <c r="G892">
        <v>10452</v>
      </c>
      <c r="K892">
        <v>1</v>
      </c>
      <c r="L892">
        <v>0</v>
      </c>
      <c r="M892">
        <v>111.78</v>
      </c>
    </row>
    <row r="893" spans="1:13">
      <c r="A893" s="1">
        <f>HYPERLINK("https://lsnyc.legalserver.org/matter/dynamic-profile/view/1845269","17-1845269")</f>
        <v>0</v>
      </c>
      <c r="B893" t="s">
        <v>13</v>
      </c>
      <c r="C893" t="s">
        <v>510</v>
      </c>
      <c r="D893" t="s">
        <v>1013</v>
      </c>
      <c r="E893" t="s">
        <v>1480</v>
      </c>
      <c r="F893" t="s">
        <v>2091</v>
      </c>
      <c r="G893">
        <v>11208</v>
      </c>
      <c r="K893">
        <v>3</v>
      </c>
      <c r="L893">
        <v>0</v>
      </c>
      <c r="M893">
        <v>111.95</v>
      </c>
    </row>
    <row r="894" spans="1:13">
      <c r="A894" s="1">
        <f>HYPERLINK("https://lsnyc.legalserver.org/matter/dynamic-profile/view/1865962","18-1865962")</f>
        <v>0</v>
      </c>
      <c r="B894" t="s">
        <v>13</v>
      </c>
      <c r="C894" t="s">
        <v>511</v>
      </c>
      <c r="D894" t="s">
        <v>931</v>
      </c>
      <c r="E894" t="s">
        <v>1895</v>
      </c>
      <c r="F894" t="s">
        <v>2093</v>
      </c>
      <c r="G894">
        <v>10031</v>
      </c>
      <c r="K894">
        <v>2</v>
      </c>
      <c r="L894">
        <v>0</v>
      </c>
      <c r="M894">
        <v>111.98</v>
      </c>
    </row>
    <row r="895" spans="1:13">
      <c r="A895" s="1">
        <f>HYPERLINK("https://lsnyc.legalserver.org/matter/dynamic-profile/view/1840076","17-1840076")</f>
        <v>0</v>
      </c>
      <c r="B895" t="s">
        <v>13</v>
      </c>
      <c r="C895" t="s">
        <v>81</v>
      </c>
      <c r="D895" t="s">
        <v>1229</v>
      </c>
      <c r="E895" t="s">
        <v>1920</v>
      </c>
      <c r="F895" t="s">
        <v>2091</v>
      </c>
      <c r="G895">
        <v>11207</v>
      </c>
      <c r="K895">
        <v>2</v>
      </c>
      <c r="L895">
        <v>0</v>
      </c>
      <c r="M895">
        <v>112.32</v>
      </c>
    </row>
    <row r="896" spans="1:13">
      <c r="A896" s="1">
        <f>HYPERLINK("https://lsnyc.legalserver.org/matter/dynamic-profile/view/0806036","16-0806036")</f>
        <v>0</v>
      </c>
      <c r="B896" t="s">
        <v>13</v>
      </c>
      <c r="C896" t="s">
        <v>503</v>
      </c>
      <c r="D896" t="s">
        <v>1230</v>
      </c>
      <c r="E896" t="s">
        <v>1915</v>
      </c>
      <c r="F896" t="s">
        <v>2094</v>
      </c>
      <c r="G896">
        <v>11432</v>
      </c>
      <c r="K896">
        <v>2</v>
      </c>
      <c r="L896">
        <v>0</v>
      </c>
      <c r="M896">
        <v>112.36</v>
      </c>
    </row>
    <row r="897" spans="1:13">
      <c r="A897" s="1">
        <f>HYPERLINK("https://lsnyc.legalserver.org/matter/dynamic-profile/view/0823095","16-0823095")</f>
        <v>0</v>
      </c>
      <c r="B897" t="s">
        <v>13</v>
      </c>
      <c r="C897" t="s">
        <v>512</v>
      </c>
      <c r="D897" t="s">
        <v>1231</v>
      </c>
      <c r="E897" t="s">
        <v>1536</v>
      </c>
      <c r="F897" t="s">
        <v>2091</v>
      </c>
      <c r="G897">
        <v>11225</v>
      </c>
      <c r="K897">
        <v>1</v>
      </c>
      <c r="L897">
        <v>0</v>
      </c>
      <c r="M897">
        <v>112.63</v>
      </c>
    </row>
    <row r="898" spans="1:13">
      <c r="A898" s="1">
        <f>HYPERLINK("https://lsnyc.legalserver.org/matter/dynamic-profile/view/0817107","16-0817107")</f>
        <v>0</v>
      </c>
      <c r="B898" t="s">
        <v>13</v>
      </c>
      <c r="C898" t="s">
        <v>512</v>
      </c>
      <c r="D898" t="s">
        <v>1231</v>
      </c>
      <c r="E898" t="s">
        <v>1536</v>
      </c>
      <c r="F898" t="s">
        <v>2091</v>
      </c>
      <c r="G898">
        <v>11225</v>
      </c>
      <c r="K898">
        <v>1</v>
      </c>
      <c r="L898">
        <v>0</v>
      </c>
      <c r="M898">
        <v>112.63</v>
      </c>
    </row>
    <row r="899" spans="1:13">
      <c r="A899" s="1">
        <f>HYPERLINK("https://lsnyc.legalserver.org/matter/dynamic-profile/view/0817143","16-0817143")</f>
        <v>0</v>
      </c>
      <c r="B899" t="s">
        <v>13</v>
      </c>
      <c r="C899" t="s">
        <v>115</v>
      </c>
      <c r="D899" t="s">
        <v>1227</v>
      </c>
      <c r="E899" t="s">
        <v>1536</v>
      </c>
      <c r="F899" t="s">
        <v>2091</v>
      </c>
      <c r="G899">
        <v>11225</v>
      </c>
      <c r="K899">
        <v>1</v>
      </c>
      <c r="L899">
        <v>0</v>
      </c>
      <c r="M899">
        <v>112.63</v>
      </c>
    </row>
    <row r="900" spans="1:13">
      <c r="A900" s="1">
        <f>HYPERLINK("https://lsnyc.legalserver.org/matter/dynamic-profile/view/0823190","16-0823190")</f>
        <v>0</v>
      </c>
      <c r="B900" t="s">
        <v>13</v>
      </c>
      <c r="C900" t="s">
        <v>115</v>
      </c>
      <c r="D900" t="s">
        <v>1227</v>
      </c>
      <c r="E900" t="s">
        <v>1536</v>
      </c>
      <c r="F900" t="s">
        <v>2091</v>
      </c>
      <c r="G900">
        <v>11225</v>
      </c>
      <c r="K900">
        <v>1</v>
      </c>
      <c r="L900">
        <v>0</v>
      </c>
      <c r="M900">
        <v>112.63</v>
      </c>
    </row>
    <row r="901" spans="1:13">
      <c r="A901" s="1">
        <f>HYPERLINK("https://lsnyc.legalserver.org/matter/dynamic-profile/view/1864918","18-1864918")</f>
        <v>0</v>
      </c>
      <c r="B901" t="s">
        <v>13</v>
      </c>
      <c r="C901" t="s">
        <v>513</v>
      </c>
      <c r="D901" t="s">
        <v>743</v>
      </c>
      <c r="E901" t="s">
        <v>1921</v>
      </c>
      <c r="F901" t="s">
        <v>2091</v>
      </c>
      <c r="G901">
        <v>11208</v>
      </c>
      <c r="K901">
        <v>2</v>
      </c>
      <c r="L901">
        <v>0</v>
      </c>
      <c r="M901">
        <v>113.1</v>
      </c>
    </row>
    <row r="902" spans="1:13">
      <c r="A902" s="1">
        <f>HYPERLINK("https://lsnyc.legalserver.org/matter/dynamic-profile/view/1862837","18-1862837")</f>
        <v>0</v>
      </c>
      <c r="B902" t="s">
        <v>13</v>
      </c>
      <c r="C902" t="s">
        <v>514</v>
      </c>
      <c r="D902" t="s">
        <v>1029</v>
      </c>
      <c r="E902" t="s">
        <v>1469</v>
      </c>
      <c r="F902" t="s">
        <v>2089</v>
      </c>
      <c r="G902">
        <v>10457</v>
      </c>
      <c r="K902">
        <v>1</v>
      </c>
      <c r="L902">
        <v>0</v>
      </c>
      <c r="M902">
        <v>113.18</v>
      </c>
    </row>
    <row r="903" spans="1:13">
      <c r="A903" s="1">
        <f>HYPERLINK("https://lsnyc.legalserver.org/matter/dynamic-profile/view/0830090","17-0830090")</f>
        <v>0</v>
      </c>
      <c r="B903" t="s">
        <v>13</v>
      </c>
      <c r="C903" t="s">
        <v>515</v>
      </c>
      <c r="D903" t="s">
        <v>1232</v>
      </c>
      <c r="E903" t="s">
        <v>1922</v>
      </c>
      <c r="F903" t="s">
        <v>2091</v>
      </c>
      <c r="G903">
        <v>11211</v>
      </c>
      <c r="K903">
        <v>2</v>
      </c>
      <c r="L903">
        <v>0</v>
      </c>
      <c r="M903">
        <v>113.35</v>
      </c>
    </row>
    <row r="904" spans="1:13">
      <c r="A904" s="1">
        <f>HYPERLINK("https://lsnyc.legalserver.org/matter/dynamic-profile/view/1864036","18-1864036")</f>
        <v>0</v>
      </c>
      <c r="B904" t="s">
        <v>13</v>
      </c>
      <c r="C904" t="s">
        <v>106</v>
      </c>
      <c r="D904" t="s">
        <v>923</v>
      </c>
      <c r="E904" t="s">
        <v>1512</v>
      </c>
      <c r="F904" t="s">
        <v>2093</v>
      </c>
      <c r="G904">
        <v>10029</v>
      </c>
      <c r="K904">
        <v>1</v>
      </c>
      <c r="L904">
        <v>0</v>
      </c>
      <c r="M904">
        <v>113.38</v>
      </c>
    </row>
    <row r="905" spans="1:13">
      <c r="A905" s="1">
        <f>HYPERLINK("https://lsnyc.legalserver.org/matter/dynamic-profile/view/1863504","18-1863504")</f>
        <v>0</v>
      </c>
      <c r="B905" t="s">
        <v>13</v>
      </c>
      <c r="C905" t="s">
        <v>516</v>
      </c>
      <c r="D905" t="s">
        <v>15</v>
      </c>
      <c r="E905" t="s">
        <v>1599</v>
      </c>
      <c r="F905" t="s">
        <v>2089</v>
      </c>
      <c r="G905">
        <v>10452</v>
      </c>
      <c r="K905">
        <v>2</v>
      </c>
      <c r="L905">
        <v>0</v>
      </c>
      <c r="M905">
        <v>113.73</v>
      </c>
    </row>
    <row r="906" spans="1:13">
      <c r="A906" s="1">
        <f>HYPERLINK("https://lsnyc.legalserver.org/matter/dynamic-profile/view/1872194","18-1872194")</f>
        <v>0</v>
      </c>
      <c r="B906" t="s">
        <v>13</v>
      </c>
      <c r="C906" t="s">
        <v>516</v>
      </c>
      <c r="D906" t="s">
        <v>15</v>
      </c>
      <c r="E906" t="s">
        <v>1599</v>
      </c>
      <c r="F906" t="s">
        <v>2089</v>
      </c>
      <c r="G906">
        <v>10452</v>
      </c>
      <c r="K906">
        <v>2</v>
      </c>
      <c r="L906">
        <v>0</v>
      </c>
      <c r="M906">
        <v>113.73</v>
      </c>
    </row>
    <row r="907" spans="1:13">
      <c r="A907" s="1">
        <f>HYPERLINK("https://lsnyc.legalserver.org/matter/dynamic-profile/view/1839280","17-1839280")</f>
        <v>0</v>
      </c>
      <c r="B907" t="s">
        <v>13</v>
      </c>
      <c r="C907" t="s">
        <v>517</v>
      </c>
      <c r="D907" t="s">
        <v>745</v>
      </c>
      <c r="E907" t="s">
        <v>1460</v>
      </c>
      <c r="F907" t="s">
        <v>2089</v>
      </c>
      <c r="G907">
        <v>10453</v>
      </c>
      <c r="K907">
        <v>1</v>
      </c>
      <c r="L907">
        <v>0</v>
      </c>
      <c r="M907">
        <v>113.93</v>
      </c>
    </row>
    <row r="908" spans="1:13">
      <c r="A908" s="1">
        <f>HYPERLINK("https://lsnyc.legalserver.org/matter/dynamic-profile/view/0831488","17-0831488")</f>
        <v>0</v>
      </c>
      <c r="B908" t="s">
        <v>13</v>
      </c>
      <c r="C908" t="s">
        <v>49</v>
      </c>
      <c r="D908" t="s">
        <v>1233</v>
      </c>
      <c r="E908" t="s">
        <v>1923</v>
      </c>
      <c r="F908" t="s">
        <v>2089</v>
      </c>
      <c r="G908">
        <v>10462</v>
      </c>
      <c r="K908">
        <v>2</v>
      </c>
      <c r="L908">
        <v>0</v>
      </c>
      <c r="M908">
        <v>114.31</v>
      </c>
    </row>
    <row r="909" spans="1:13">
      <c r="A909" s="1">
        <f>HYPERLINK("https://lsnyc.legalserver.org/matter/dynamic-profile/view/1841112","17-1841112")</f>
        <v>0</v>
      </c>
      <c r="B909" t="s">
        <v>13</v>
      </c>
      <c r="C909" t="s">
        <v>143</v>
      </c>
      <c r="D909" t="s">
        <v>1234</v>
      </c>
      <c r="E909" t="s">
        <v>1470</v>
      </c>
      <c r="F909" t="s">
        <v>2089</v>
      </c>
      <c r="G909">
        <v>10452</v>
      </c>
      <c r="K909">
        <v>2</v>
      </c>
      <c r="L909">
        <v>0</v>
      </c>
      <c r="M909">
        <v>114.68</v>
      </c>
    </row>
    <row r="910" spans="1:13">
      <c r="A910" s="1">
        <f>HYPERLINK("https://lsnyc.legalserver.org/matter/dynamic-profile/view/1857406","18-1857406")</f>
        <v>0</v>
      </c>
      <c r="B910" t="s">
        <v>13</v>
      </c>
      <c r="C910" t="s">
        <v>143</v>
      </c>
      <c r="D910" t="s">
        <v>1234</v>
      </c>
      <c r="E910" t="s">
        <v>1470</v>
      </c>
      <c r="F910" t="s">
        <v>2089</v>
      </c>
      <c r="G910">
        <v>10452</v>
      </c>
      <c r="K910">
        <v>2</v>
      </c>
      <c r="L910">
        <v>0</v>
      </c>
      <c r="M910">
        <v>114.68</v>
      </c>
    </row>
    <row r="911" spans="1:13">
      <c r="A911" s="1">
        <f>HYPERLINK("https://lsnyc.legalserver.org/matter/dynamic-profile/view/1841231","17-1841231")</f>
        <v>0</v>
      </c>
      <c r="B911" t="s">
        <v>13</v>
      </c>
      <c r="C911" t="s">
        <v>106</v>
      </c>
      <c r="D911" t="s">
        <v>879</v>
      </c>
      <c r="E911" t="s">
        <v>1533</v>
      </c>
      <c r="F911" t="s">
        <v>2089</v>
      </c>
      <c r="G911">
        <v>10452</v>
      </c>
      <c r="K911">
        <v>2</v>
      </c>
      <c r="L911">
        <v>0</v>
      </c>
      <c r="M911">
        <v>114.75</v>
      </c>
    </row>
    <row r="912" spans="1:13">
      <c r="A912" s="1">
        <f>HYPERLINK("https://lsnyc.legalserver.org/matter/dynamic-profile/view/1854981","18-1854981")</f>
        <v>0</v>
      </c>
      <c r="B912" t="s">
        <v>13</v>
      </c>
      <c r="C912" t="s">
        <v>106</v>
      </c>
      <c r="D912" t="s">
        <v>879</v>
      </c>
      <c r="E912" t="s">
        <v>1533</v>
      </c>
      <c r="F912" t="s">
        <v>2089</v>
      </c>
      <c r="G912">
        <v>10452</v>
      </c>
      <c r="K912">
        <v>2</v>
      </c>
      <c r="L912">
        <v>0</v>
      </c>
      <c r="M912">
        <v>114.75</v>
      </c>
    </row>
    <row r="913" spans="1:13">
      <c r="A913" s="1">
        <f>HYPERLINK("https://lsnyc.legalserver.org/matter/dynamic-profile/view/1854347","17-1854347")</f>
        <v>0</v>
      </c>
      <c r="B913" t="s">
        <v>13</v>
      </c>
      <c r="C913" t="s">
        <v>518</v>
      </c>
      <c r="D913" t="s">
        <v>1235</v>
      </c>
      <c r="E913" t="s">
        <v>1776</v>
      </c>
      <c r="F913" t="s">
        <v>2089</v>
      </c>
      <c r="G913">
        <v>10452</v>
      </c>
      <c r="K913">
        <v>2</v>
      </c>
      <c r="L913">
        <v>0</v>
      </c>
      <c r="M913">
        <v>115.27</v>
      </c>
    </row>
    <row r="914" spans="1:13">
      <c r="A914" s="1">
        <f>HYPERLINK("https://lsnyc.legalserver.org/matter/dynamic-profile/view/1850921","17-1850921")</f>
        <v>0</v>
      </c>
      <c r="B914" t="s">
        <v>13</v>
      </c>
      <c r="C914" t="s">
        <v>39</v>
      </c>
      <c r="D914" t="s">
        <v>778</v>
      </c>
      <c r="E914" t="s">
        <v>1924</v>
      </c>
      <c r="F914" t="s">
        <v>2093</v>
      </c>
      <c r="G914">
        <v>10034</v>
      </c>
      <c r="K914">
        <v>3</v>
      </c>
      <c r="L914">
        <v>0</v>
      </c>
      <c r="M914">
        <v>115.38</v>
      </c>
    </row>
    <row r="915" spans="1:13">
      <c r="A915" s="1">
        <f>HYPERLINK("https://lsnyc.legalserver.org/matter/dynamic-profile/view/1852953","17-1852953")</f>
        <v>0</v>
      </c>
      <c r="B915" t="s">
        <v>13</v>
      </c>
      <c r="C915" t="s">
        <v>519</v>
      </c>
      <c r="D915" t="s">
        <v>1236</v>
      </c>
      <c r="E915" t="s">
        <v>1906</v>
      </c>
      <c r="F915" t="s">
        <v>2090</v>
      </c>
      <c r="G915">
        <v>10301</v>
      </c>
      <c r="K915">
        <v>1</v>
      </c>
      <c r="L915">
        <v>0</v>
      </c>
      <c r="M915">
        <v>115.56</v>
      </c>
    </row>
    <row r="916" spans="1:13">
      <c r="A916" s="1">
        <f>HYPERLINK("https://lsnyc.legalserver.org/matter/dynamic-profile/view/0819293","16-0819293")</f>
        <v>0</v>
      </c>
      <c r="B916" t="s">
        <v>13</v>
      </c>
      <c r="C916" t="s">
        <v>517</v>
      </c>
      <c r="D916" t="s">
        <v>745</v>
      </c>
      <c r="E916" t="s">
        <v>1460</v>
      </c>
      <c r="F916" t="s">
        <v>2089</v>
      </c>
      <c r="G916">
        <v>10453</v>
      </c>
      <c r="K916">
        <v>1</v>
      </c>
      <c r="L916">
        <v>0</v>
      </c>
      <c r="M916">
        <v>115.66</v>
      </c>
    </row>
    <row r="917" spans="1:13">
      <c r="A917" s="1">
        <f>HYPERLINK("https://lsnyc.legalserver.org/matter/dynamic-profile/view/0809398","16-0809398")</f>
        <v>0</v>
      </c>
      <c r="B917" t="s">
        <v>13</v>
      </c>
      <c r="C917" t="s">
        <v>514</v>
      </c>
      <c r="D917" t="s">
        <v>1029</v>
      </c>
      <c r="E917" t="s">
        <v>1469</v>
      </c>
      <c r="F917" t="s">
        <v>2089</v>
      </c>
      <c r="G917">
        <v>10457</v>
      </c>
      <c r="K917">
        <v>1</v>
      </c>
      <c r="L917">
        <v>0</v>
      </c>
      <c r="M917">
        <v>115.66</v>
      </c>
    </row>
    <row r="918" spans="1:13">
      <c r="A918" s="1">
        <f>HYPERLINK("https://lsnyc.legalserver.org/matter/dynamic-profile/view/0816829","16-0816829")</f>
        <v>0</v>
      </c>
      <c r="B918" t="s">
        <v>13</v>
      </c>
      <c r="C918" t="s">
        <v>514</v>
      </c>
      <c r="D918" t="s">
        <v>1029</v>
      </c>
      <c r="E918" t="s">
        <v>1469</v>
      </c>
      <c r="F918" t="s">
        <v>2089</v>
      </c>
      <c r="G918">
        <v>10457</v>
      </c>
      <c r="K918">
        <v>1</v>
      </c>
      <c r="L918">
        <v>0</v>
      </c>
      <c r="M918">
        <v>115.66</v>
      </c>
    </row>
    <row r="919" spans="1:13">
      <c r="A919" s="1">
        <f>HYPERLINK("https://lsnyc.legalserver.org/matter/dynamic-profile/view/0805209","16-0805209")</f>
        <v>0</v>
      </c>
      <c r="B919" t="s">
        <v>13</v>
      </c>
      <c r="C919" t="s">
        <v>514</v>
      </c>
      <c r="D919" t="s">
        <v>1029</v>
      </c>
      <c r="E919" t="s">
        <v>1469</v>
      </c>
      <c r="F919" t="s">
        <v>2089</v>
      </c>
      <c r="G919">
        <v>10457</v>
      </c>
      <c r="K919">
        <v>1</v>
      </c>
      <c r="L919">
        <v>0</v>
      </c>
      <c r="M919">
        <v>115.66</v>
      </c>
    </row>
    <row r="920" spans="1:13">
      <c r="A920" s="1">
        <f>HYPERLINK("https://lsnyc.legalserver.org/matter/dynamic-profile/view/0819287","16-0819287")</f>
        <v>0</v>
      </c>
      <c r="B920" t="s">
        <v>13</v>
      </c>
      <c r="C920" t="s">
        <v>517</v>
      </c>
      <c r="D920" t="s">
        <v>745</v>
      </c>
      <c r="E920" t="s">
        <v>1460</v>
      </c>
      <c r="F920" t="s">
        <v>2089</v>
      </c>
      <c r="G920">
        <v>10453</v>
      </c>
      <c r="K920">
        <v>1</v>
      </c>
      <c r="L920">
        <v>0</v>
      </c>
      <c r="M920">
        <v>115.66</v>
      </c>
    </row>
    <row r="921" spans="1:13">
      <c r="A921" s="1">
        <f>HYPERLINK("https://lsnyc.legalserver.org/matter/dynamic-profile/view/1844694","17-1844694")</f>
        <v>0</v>
      </c>
      <c r="B921" t="s">
        <v>13</v>
      </c>
      <c r="C921" t="s">
        <v>520</v>
      </c>
      <c r="D921" t="s">
        <v>1162</v>
      </c>
      <c r="E921" t="s">
        <v>1925</v>
      </c>
      <c r="F921" t="s">
        <v>2091</v>
      </c>
      <c r="G921">
        <v>11233</v>
      </c>
      <c r="K921">
        <v>1</v>
      </c>
      <c r="L921">
        <v>0</v>
      </c>
      <c r="M921">
        <v>116.42</v>
      </c>
    </row>
    <row r="922" spans="1:13">
      <c r="A922" s="1">
        <f>HYPERLINK("https://lsnyc.legalserver.org/matter/dynamic-profile/view/1854735","17-1854735")</f>
        <v>0</v>
      </c>
      <c r="B922" t="s">
        <v>13</v>
      </c>
      <c r="C922" t="s">
        <v>521</v>
      </c>
      <c r="D922" t="s">
        <v>1186</v>
      </c>
      <c r="E922" t="s">
        <v>1701</v>
      </c>
      <c r="F922" t="s">
        <v>2089</v>
      </c>
      <c r="G922">
        <v>10453</v>
      </c>
      <c r="K922">
        <v>1</v>
      </c>
      <c r="L922">
        <v>0</v>
      </c>
      <c r="M922">
        <v>116.42</v>
      </c>
    </row>
    <row r="923" spans="1:13">
      <c r="A923" s="1">
        <f>HYPERLINK("https://lsnyc.legalserver.org/matter/dynamic-profile/view/1868382","18-1868382")</f>
        <v>0</v>
      </c>
      <c r="B923" t="s">
        <v>13</v>
      </c>
      <c r="C923" t="s">
        <v>522</v>
      </c>
      <c r="D923" t="s">
        <v>1237</v>
      </c>
      <c r="E923" t="s">
        <v>1926</v>
      </c>
      <c r="F923" t="s">
        <v>2103</v>
      </c>
      <c r="G923">
        <v>11368</v>
      </c>
      <c r="K923">
        <v>2</v>
      </c>
      <c r="L923">
        <v>0</v>
      </c>
      <c r="M923">
        <v>116.65</v>
      </c>
    </row>
    <row r="924" spans="1:13">
      <c r="A924" s="1">
        <f>HYPERLINK("https://lsnyc.legalserver.org/matter/dynamic-profile/view/0802598","16-0802598")</f>
        <v>0</v>
      </c>
      <c r="B924" t="s">
        <v>13</v>
      </c>
      <c r="C924" t="s">
        <v>516</v>
      </c>
      <c r="D924" t="s">
        <v>15</v>
      </c>
      <c r="E924" t="s">
        <v>1599</v>
      </c>
      <c r="F924" t="s">
        <v>2089</v>
      </c>
      <c r="G924">
        <v>10452</v>
      </c>
      <c r="K924">
        <v>2</v>
      </c>
      <c r="L924">
        <v>0</v>
      </c>
      <c r="M924">
        <v>116.85</v>
      </c>
    </row>
    <row r="925" spans="1:13">
      <c r="A925" s="1">
        <f>HYPERLINK("https://lsnyc.legalserver.org/matter/dynamic-profile/view/0789072","15-0789072")</f>
        <v>0</v>
      </c>
      <c r="B925" t="s">
        <v>13</v>
      </c>
      <c r="C925" t="s">
        <v>143</v>
      </c>
      <c r="D925" t="s">
        <v>1234</v>
      </c>
      <c r="E925" t="s">
        <v>1470</v>
      </c>
      <c r="F925" t="s">
        <v>2089</v>
      </c>
      <c r="G925">
        <v>10452</v>
      </c>
      <c r="K925">
        <v>2</v>
      </c>
      <c r="L925">
        <v>0</v>
      </c>
      <c r="M925">
        <v>116.91</v>
      </c>
    </row>
    <row r="926" spans="1:13">
      <c r="A926" s="1">
        <f>HYPERLINK("https://lsnyc.legalserver.org/matter/dynamic-profile/view/1866528","18-1866528")</f>
        <v>0</v>
      </c>
      <c r="B926" t="s">
        <v>13</v>
      </c>
      <c r="C926" t="s">
        <v>18</v>
      </c>
      <c r="D926" t="s">
        <v>1238</v>
      </c>
      <c r="E926" t="s">
        <v>1927</v>
      </c>
      <c r="F926" t="s">
        <v>2089</v>
      </c>
      <c r="G926">
        <v>10458</v>
      </c>
      <c r="K926">
        <v>1</v>
      </c>
      <c r="L926">
        <v>0</v>
      </c>
      <c r="M926">
        <v>116.94</v>
      </c>
    </row>
    <row r="927" spans="1:13">
      <c r="A927" s="1">
        <f>HYPERLINK("https://lsnyc.legalserver.org/matter/dynamic-profile/view/1845750","17-1845750")</f>
        <v>0</v>
      </c>
      <c r="B927" t="s">
        <v>13</v>
      </c>
      <c r="C927" t="s">
        <v>523</v>
      </c>
      <c r="D927" t="s">
        <v>973</v>
      </c>
      <c r="E927" t="s">
        <v>1928</v>
      </c>
      <c r="F927" t="s">
        <v>2093</v>
      </c>
      <c r="G927">
        <v>10034</v>
      </c>
      <c r="K927">
        <v>2</v>
      </c>
      <c r="L927">
        <v>0</v>
      </c>
      <c r="M927">
        <v>117</v>
      </c>
    </row>
    <row r="928" spans="1:13">
      <c r="A928" s="1">
        <f>HYPERLINK("https://lsnyc.legalserver.org/matter/dynamic-profile/view/1840052","17-1840052")</f>
        <v>0</v>
      </c>
      <c r="B928" t="s">
        <v>13</v>
      </c>
      <c r="C928" t="s">
        <v>269</v>
      </c>
      <c r="D928" t="s">
        <v>1239</v>
      </c>
      <c r="E928" t="s">
        <v>1881</v>
      </c>
      <c r="F928" t="s">
        <v>2093</v>
      </c>
      <c r="G928">
        <v>10040</v>
      </c>
      <c r="K928">
        <v>3</v>
      </c>
      <c r="L928">
        <v>0</v>
      </c>
      <c r="M928">
        <v>117.1</v>
      </c>
    </row>
    <row r="929" spans="1:13">
      <c r="A929" s="1">
        <f>HYPERLINK("https://lsnyc.legalserver.org/matter/dynamic-profile/view/1834387","17-1834387")</f>
        <v>0</v>
      </c>
      <c r="B929" t="s">
        <v>13</v>
      </c>
      <c r="C929" t="s">
        <v>524</v>
      </c>
      <c r="D929" t="s">
        <v>1240</v>
      </c>
      <c r="E929" t="s">
        <v>1929</v>
      </c>
      <c r="F929" t="s">
        <v>2093</v>
      </c>
      <c r="G929">
        <v>10031</v>
      </c>
      <c r="K929">
        <v>1</v>
      </c>
      <c r="L929">
        <v>0</v>
      </c>
      <c r="M929">
        <v>117.21</v>
      </c>
    </row>
    <row r="930" spans="1:13">
      <c r="A930" s="1">
        <f>HYPERLINK("https://lsnyc.legalserver.org/matter/dynamic-profile/view/0823816","17-0823816")</f>
        <v>0</v>
      </c>
      <c r="B930" t="s">
        <v>13</v>
      </c>
      <c r="C930" t="s">
        <v>525</v>
      </c>
      <c r="D930" t="s">
        <v>1241</v>
      </c>
      <c r="E930" t="s">
        <v>1930</v>
      </c>
      <c r="F930" t="s">
        <v>2091</v>
      </c>
      <c r="G930">
        <v>11224</v>
      </c>
      <c r="K930">
        <v>1</v>
      </c>
      <c r="L930">
        <v>0</v>
      </c>
      <c r="M930">
        <v>117.78</v>
      </c>
    </row>
    <row r="931" spans="1:13">
      <c r="A931" s="1">
        <f>HYPERLINK("https://lsnyc.legalserver.org/matter/dynamic-profile/view/1848822","17-1848822")</f>
        <v>0</v>
      </c>
      <c r="B931" t="s">
        <v>13</v>
      </c>
      <c r="C931" t="s">
        <v>526</v>
      </c>
      <c r="D931" t="s">
        <v>96</v>
      </c>
      <c r="E931" t="s">
        <v>1931</v>
      </c>
      <c r="F931" t="s">
        <v>2089</v>
      </c>
      <c r="G931">
        <v>10453</v>
      </c>
      <c r="K931">
        <v>1</v>
      </c>
      <c r="L931">
        <v>0</v>
      </c>
      <c r="M931">
        <v>117.81</v>
      </c>
    </row>
    <row r="932" spans="1:13">
      <c r="A932" s="1">
        <f>HYPERLINK("https://lsnyc.legalserver.org/matter/dynamic-profile/view/1856019","18-1856019")</f>
        <v>0</v>
      </c>
      <c r="B932" t="s">
        <v>13</v>
      </c>
      <c r="C932" t="s">
        <v>481</v>
      </c>
      <c r="D932" t="s">
        <v>1242</v>
      </c>
      <c r="E932" t="s">
        <v>1932</v>
      </c>
      <c r="F932" t="s">
        <v>2091</v>
      </c>
      <c r="G932">
        <v>11239</v>
      </c>
      <c r="K932">
        <v>1</v>
      </c>
      <c r="L932">
        <v>0</v>
      </c>
      <c r="M932">
        <v>118.01</v>
      </c>
    </row>
    <row r="933" spans="1:13">
      <c r="A933" s="1">
        <f>HYPERLINK("https://lsnyc.legalserver.org/matter/dynamic-profile/view/1858328","18-1858328")</f>
        <v>0</v>
      </c>
      <c r="B933" t="s">
        <v>13</v>
      </c>
      <c r="C933" t="s">
        <v>85</v>
      </c>
      <c r="D933" t="s">
        <v>1243</v>
      </c>
      <c r="E933" t="s">
        <v>1933</v>
      </c>
      <c r="F933" t="s">
        <v>2094</v>
      </c>
      <c r="G933">
        <v>11435</v>
      </c>
      <c r="K933">
        <v>3</v>
      </c>
      <c r="L933">
        <v>0</v>
      </c>
      <c r="M933">
        <v>118.15</v>
      </c>
    </row>
    <row r="934" spans="1:13">
      <c r="A934" s="1">
        <f>HYPERLINK("https://lsnyc.legalserver.org/matter/dynamic-profile/view/0804646","16-0804646")</f>
        <v>0</v>
      </c>
      <c r="B934" t="s">
        <v>13</v>
      </c>
      <c r="C934" t="s">
        <v>522</v>
      </c>
      <c r="D934" t="s">
        <v>1109</v>
      </c>
      <c r="E934" t="s">
        <v>1934</v>
      </c>
      <c r="F934" t="s">
        <v>2113</v>
      </c>
      <c r="G934">
        <v>11694</v>
      </c>
      <c r="K934">
        <v>1</v>
      </c>
      <c r="L934">
        <v>0</v>
      </c>
      <c r="M934">
        <v>118.18</v>
      </c>
    </row>
    <row r="935" spans="1:13">
      <c r="A935" s="1">
        <f>HYPERLINK("https://lsnyc.legalserver.org/matter/dynamic-profile/view/1862894","18-1862894")</f>
        <v>0</v>
      </c>
      <c r="B935" t="s">
        <v>13</v>
      </c>
      <c r="C935" t="s">
        <v>458</v>
      </c>
      <c r="D935" t="s">
        <v>1244</v>
      </c>
      <c r="E935" t="s">
        <v>1935</v>
      </c>
      <c r="F935" t="s">
        <v>2091</v>
      </c>
      <c r="G935">
        <v>11225</v>
      </c>
      <c r="K935">
        <v>3</v>
      </c>
      <c r="L935">
        <v>0</v>
      </c>
      <c r="M935">
        <v>118.38</v>
      </c>
    </row>
    <row r="936" spans="1:13">
      <c r="A936" s="1">
        <f>HYPERLINK("https://lsnyc.legalserver.org/matter/dynamic-profile/view/1834601","17-1834601")</f>
        <v>0</v>
      </c>
      <c r="B936" t="s">
        <v>13</v>
      </c>
      <c r="C936" t="s">
        <v>527</v>
      </c>
      <c r="D936" t="s">
        <v>1245</v>
      </c>
      <c r="E936" t="s">
        <v>1936</v>
      </c>
      <c r="F936" t="s">
        <v>2093</v>
      </c>
      <c r="G936">
        <v>10034</v>
      </c>
      <c r="K936">
        <v>2</v>
      </c>
      <c r="L936">
        <v>0</v>
      </c>
      <c r="M936">
        <v>118.52</v>
      </c>
    </row>
    <row r="937" spans="1:13">
      <c r="A937" s="1">
        <f>HYPERLINK("https://lsnyc.legalserver.org/matter/dynamic-profile/view/0832823","17-0832823")</f>
        <v>0</v>
      </c>
      <c r="B937" t="s">
        <v>13</v>
      </c>
      <c r="C937" t="s">
        <v>165</v>
      </c>
      <c r="D937" t="s">
        <v>1013</v>
      </c>
      <c r="E937" t="s">
        <v>1937</v>
      </c>
      <c r="F937" t="s">
        <v>2089</v>
      </c>
      <c r="G937">
        <v>10458</v>
      </c>
      <c r="K937">
        <v>1</v>
      </c>
      <c r="L937">
        <v>0</v>
      </c>
      <c r="M937">
        <v>118.57</v>
      </c>
    </row>
    <row r="938" spans="1:13">
      <c r="A938" s="1">
        <f>HYPERLINK("https://lsnyc.legalserver.org/matter/dynamic-profile/view/1846641","17-1846641")</f>
        <v>0</v>
      </c>
      <c r="B938" t="s">
        <v>13</v>
      </c>
      <c r="C938" t="s">
        <v>173</v>
      </c>
      <c r="D938" t="s">
        <v>778</v>
      </c>
      <c r="E938" t="s">
        <v>1666</v>
      </c>
      <c r="F938" t="s">
        <v>2093</v>
      </c>
      <c r="G938">
        <v>10040</v>
      </c>
      <c r="K938">
        <v>1</v>
      </c>
      <c r="L938">
        <v>0</v>
      </c>
      <c r="M938">
        <v>118.57</v>
      </c>
    </row>
    <row r="939" spans="1:13">
      <c r="A939" s="1">
        <f>HYPERLINK("https://lsnyc.legalserver.org/matter/dynamic-profile/view/1846631","17-1846631")</f>
        <v>0</v>
      </c>
      <c r="B939" t="s">
        <v>13</v>
      </c>
      <c r="C939" t="s">
        <v>173</v>
      </c>
      <c r="D939" t="s">
        <v>778</v>
      </c>
      <c r="E939" t="s">
        <v>1666</v>
      </c>
      <c r="F939" t="s">
        <v>2093</v>
      </c>
      <c r="G939">
        <v>10040</v>
      </c>
      <c r="K939">
        <v>1</v>
      </c>
      <c r="L939">
        <v>0</v>
      </c>
      <c r="M939">
        <v>118.57</v>
      </c>
    </row>
    <row r="940" spans="1:13">
      <c r="A940" s="1">
        <f>HYPERLINK("https://lsnyc.legalserver.org/matter/dynamic-profile/view/0804976","16-0804976")</f>
        <v>0</v>
      </c>
      <c r="B940" t="s">
        <v>13</v>
      </c>
      <c r="C940" t="s">
        <v>528</v>
      </c>
      <c r="D940" t="s">
        <v>1136</v>
      </c>
      <c r="E940" t="s">
        <v>1938</v>
      </c>
      <c r="F940" t="s">
        <v>2092</v>
      </c>
      <c r="G940">
        <v>11354</v>
      </c>
      <c r="K940">
        <v>2</v>
      </c>
      <c r="L940">
        <v>0</v>
      </c>
      <c r="M940">
        <v>118.6</v>
      </c>
    </row>
    <row r="941" spans="1:13">
      <c r="A941" s="1">
        <f>HYPERLINK("https://lsnyc.legalserver.org/matter/dynamic-profile/view/1863655","18-1863655")</f>
        <v>0</v>
      </c>
      <c r="B941" t="s">
        <v>13</v>
      </c>
      <c r="C941" t="s">
        <v>159</v>
      </c>
      <c r="D941" t="s">
        <v>1246</v>
      </c>
      <c r="E941" t="s">
        <v>1785</v>
      </c>
      <c r="F941" t="s">
        <v>2093</v>
      </c>
      <c r="G941">
        <v>10035</v>
      </c>
      <c r="K941">
        <v>3</v>
      </c>
      <c r="L941">
        <v>0</v>
      </c>
      <c r="M941">
        <v>118.61</v>
      </c>
    </row>
    <row r="942" spans="1:13">
      <c r="A942" s="1">
        <f>HYPERLINK("https://lsnyc.legalserver.org/matter/dynamic-profile/view/1867280","18-1867280")</f>
        <v>0</v>
      </c>
      <c r="B942" t="s">
        <v>13</v>
      </c>
      <c r="C942" t="s">
        <v>199</v>
      </c>
      <c r="D942" t="s">
        <v>64</v>
      </c>
      <c r="E942" t="s">
        <v>1448</v>
      </c>
      <c r="F942" t="s">
        <v>2091</v>
      </c>
      <c r="G942">
        <v>11212</v>
      </c>
      <c r="K942">
        <v>1</v>
      </c>
      <c r="L942">
        <v>0</v>
      </c>
      <c r="M942">
        <v>118.62</v>
      </c>
    </row>
    <row r="943" spans="1:13">
      <c r="A943" s="1">
        <f>HYPERLINK("https://lsnyc.legalserver.org/matter/dynamic-profile/view/1871334","18-1871334")</f>
        <v>0</v>
      </c>
      <c r="B943" t="s">
        <v>13</v>
      </c>
      <c r="C943" t="s">
        <v>199</v>
      </c>
      <c r="D943" t="s">
        <v>64</v>
      </c>
      <c r="E943" t="s">
        <v>1448</v>
      </c>
      <c r="F943" t="s">
        <v>2091</v>
      </c>
      <c r="G943">
        <v>11212</v>
      </c>
      <c r="K943">
        <v>1</v>
      </c>
      <c r="L943">
        <v>0</v>
      </c>
      <c r="M943">
        <v>118.62</v>
      </c>
    </row>
    <row r="944" spans="1:13">
      <c r="A944" s="1">
        <f>HYPERLINK("https://lsnyc.legalserver.org/matter/dynamic-profile/view/1863805","18-1863805")</f>
        <v>0</v>
      </c>
      <c r="B944" t="s">
        <v>13</v>
      </c>
      <c r="C944" t="s">
        <v>529</v>
      </c>
      <c r="D944" t="s">
        <v>1247</v>
      </c>
      <c r="E944" t="s">
        <v>1623</v>
      </c>
      <c r="F944" t="s">
        <v>2093</v>
      </c>
      <c r="G944">
        <v>10033</v>
      </c>
      <c r="K944">
        <v>1</v>
      </c>
      <c r="L944">
        <v>0</v>
      </c>
      <c r="M944">
        <v>118.71</v>
      </c>
    </row>
    <row r="945" spans="1:13">
      <c r="A945" s="1">
        <f>HYPERLINK("https://lsnyc.legalserver.org/matter/dynamic-profile/view/0825210","17-0825210")</f>
        <v>0</v>
      </c>
      <c r="B945" t="s">
        <v>13</v>
      </c>
      <c r="C945" t="s">
        <v>114</v>
      </c>
      <c r="D945" t="s">
        <v>1248</v>
      </c>
      <c r="E945" t="s">
        <v>1939</v>
      </c>
      <c r="F945" t="s">
        <v>2093</v>
      </c>
      <c r="G945">
        <v>10003</v>
      </c>
      <c r="K945">
        <v>1</v>
      </c>
      <c r="L945">
        <v>0</v>
      </c>
      <c r="M945">
        <v>119.19</v>
      </c>
    </row>
    <row r="946" spans="1:13">
      <c r="A946" s="1">
        <f>HYPERLINK("https://lsnyc.legalserver.org/matter/dynamic-profile/view/1871759","18-1871759")</f>
        <v>0</v>
      </c>
      <c r="B946" t="s">
        <v>13</v>
      </c>
      <c r="C946" t="s">
        <v>530</v>
      </c>
      <c r="D946" t="s">
        <v>1249</v>
      </c>
      <c r="E946" t="s">
        <v>1619</v>
      </c>
      <c r="F946" t="s">
        <v>2091</v>
      </c>
      <c r="G946">
        <v>11206</v>
      </c>
      <c r="K946">
        <v>1</v>
      </c>
      <c r="L946">
        <v>0</v>
      </c>
      <c r="M946">
        <v>119.31</v>
      </c>
    </row>
    <row r="947" spans="1:13">
      <c r="A947" s="1">
        <f>HYPERLINK("https://lsnyc.legalserver.org/matter/dynamic-profile/view/0828915","17-0828915")</f>
        <v>0</v>
      </c>
      <c r="B947" t="s">
        <v>13</v>
      </c>
      <c r="C947" t="s">
        <v>199</v>
      </c>
      <c r="D947" t="s">
        <v>64</v>
      </c>
      <c r="E947" t="s">
        <v>1448</v>
      </c>
      <c r="F947" t="s">
        <v>2091</v>
      </c>
      <c r="G947">
        <v>11212</v>
      </c>
      <c r="K947">
        <v>1</v>
      </c>
      <c r="L947">
        <v>0</v>
      </c>
      <c r="M947">
        <v>119.4</v>
      </c>
    </row>
    <row r="948" spans="1:13">
      <c r="A948" s="1">
        <f>HYPERLINK("https://lsnyc.legalserver.org/matter/dynamic-profile/view/1836079","17-1836079")</f>
        <v>0</v>
      </c>
      <c r="B948" t="s">
        <v>13</v>
      </c>
      <c r="C948" t="s">
        <v>199</v>
      </c>
      <c r="D948" t="s">
        <v>64</v>
      </c>
      <c r="E948" t="s">
        <v>1448</v>
      </c>
      <c r="F948" t="s">
        <v>2091</v>
      </c>
      <c r="G948">
        <v>11212</v>
      </c>
      <c r="K948">
        <v>1</v>
      </c>
      <c r="L948">
        <v>0</v>
      </c>
      <c r="M948">
        <v>119.4</v>
      </c>
    </row>
    <row r="949" spans="1:13">
      <c r="A949" s="1">
        <f>HYPERLINK("https://lsnyc.legalserver.org/matter/dynamic-profile/view/1842887","17-1842887")</f>
        <v>0</v>
      </c>
      <c r="B949" t="s">
        <v>13</v>
      </c>
      <c r="C949" t="s">
        <v>531</v>
      </c>
      <c r="D949" t="s">
        <v>831</v>
      </c>
      <c r="E949" t="s">
        <v>1472</v>
      </c>
      <c r="F949" t="s">
        <v>2090</v>
      </c>
      <c r="G949">
        <v>10314</v>
      </c>
      <c r="K949">
        <v>1</v>
      </c>
      <c r="L949">
        <v>0</v>
      </c>
      <c r="M949">
        <v>119.4</v>
      </c>
    </row>
    <row r="950" spans="1:13">
      <c r="A950" s="1">
        <f>HYPERLINK("https://lsnyc.legalserver.org/matter/dynamic-profile/view/1837430","17-1837430")</f>
        <v>0</v>
      </c>
      <c r="B950" t="s">
        <v>13</v>
      </c>
      <c r="C950" t="s">
        <v>532</v>
      </c>
      <c r="D950" t="s">
        <v>1250</v>
      </c>
      <c r="E950" t="s">
        <v>1940</v>
      </c>
      <c r="F950" t="s">
        <v>2091</v>
      </c>
      <c r="G950">
        <v>11215</v>
      </c>
      <c r="K950">
        <v>1</v>
      </c>
      <c r="L950">
        <v>0</v>
      </c>
      <c r="M950">
        <v>119.4</v>
      </c>
    </row>
    <row r="951" spans="1:13">
      <c r="A951" s="1">
        <f>HYPERLINK("https://lsnyc.legalserver.org/matter/dynamic-profile/view/0826987","17-0826987")</f>
        <v>0</v>
      </c>
      <c r="B951" t="s">
        <v>13</v>
      </c>
      <c r="C951" t="s">
        <v>533</v>
      </c>
      <c r="D951" t="s">
        <v>1251</v>
      </c>
      <c r="E951" t="s">
        <v>1555</v>
      </c>
      <c r="F951" t="s">
        <v>2093</v>
      </c>
      <c r="G951">
        <v>10040</v>
      </c>
      <c r="K951">
        <v>1</v>
      </c>
      <c r="L951">
        <v>0</v>
      </c>
      <c r="M951">
        <v>119.4</v>
      </c>
    </row>
    <row r="952" spans="1:13">
      <c r="A952" s="1">
        <f>HYPERLINK("https://lsnyc.legalserver.org/matter/dynamic-profile/view/1847733","17-1847733")</f>
        <v>0</v>
      </c>
      <c r="B952" t="s">
        <v>13</v>
      </c>
      <c r="C952" t="s">
        <v>275</v>
      </c>
      <c r="D952" t="s">
        <v>743</v>
      </c>
      <c r="E952" t="s">
        <v>1941</v>
      </c>
      <c r="F952" t="s">
        <v>2091</v>
      </c>
      <c r="G952">
        <v>11208</v>
      </c>
      <c r="K952">
        <v>1</v>
      </c>
      <c r="L952">
        <v>0</v>
      </c>
      <c r="M952">
        <v>119.4</v>
      </c>
    </row>
    <row r="953" spans="1:13">
      <c r="A953" s="1">
        <f>HYPERLINK("https://lsnyc.legalserver.org/matter/dynamic-profile/view/1835436","17-1835436")</f>
        <v>0</v>
      </c>
      <c r="B953" t="s">
        <v>13</v>
      </c>
      <c r="C953" t="s">
        <v>529</v>
      </c>
      <c r="D953" t="s">
        <v>1247</v>
      </c>
      <c r="E953" t="s">
        <v>1623</v>
      </c>
      <c r="F953" t="s">
        <v>2093</v>
      </c>
      <c r="G953">
        <v>10033</v>
      </c>
      <c r="K953">
        <v>1</v>
      </c>
      <c r="L953">
        <v>0</v>
      </c>
      <c r="M953">
        <v>119.5</v>
      </c>
    </row>
    <row r="954" spans="1:13">
      <c r="A954" s="1">
        <f>HYPERLINK("https://lsnyc.legalserver.org/matter/dynamic-profile/view/1868117","18-1868117")</f>
        <v>0</v>
      </c>
      <c r="B954" t="s">
        <v>13</v>
      </c>
      <c r="C954" t="s">
        <v>254</v>
      </c>
      <c r="D954" t="s">
        <v>1252</v>
      </c>
      <c r="E954" t="s">
        <v>1942</v>
      </c>
      <c r="F954" t="s">
        <v>2095</v>
      </c>
      <c r="G954">
        <v>11691</v>
      </c>
      <c r="K954">
        <v>4</v>
      </c>
      <c r="L954">
        <v>0</v>
      </c>
      <c r="M954">
        <v>119.52</v>
      </c>
    </row>
    <row r="955" spans="1:13">
      <c r="A955" s="1">
        <f>HYPERLINK("https://lsnyc.legalserver.org/matter/dynamic-profile/view/0818324","16-0818324")</f>
        <v>0</v>
      </c>
      <c r="B955" t="s">
        <v>13</v>
      </c>
      <c r="C955" t="s">
        <v>534</v>
      </c>
      <c r="D955" t="s">
        <v>1253</v>
      </c>
      <c r="E955" t="s">
        <v>1850</v>
      </c>
      <c r="F955" t="s">
        <v>2093</v>
      </c>
      <c r="G955">
        <v>10034</v>
      </c>
      <c r="K955">
        <v>3</v>
      </c>
      <c r="L955">
        <v>0</v>
      </c>
      <c r="M955">
        <v>119.88</v>
      </c>
    </row>
    <row r="956" spans="1:13">
      <c r="A956" s="1">
        <f>HYPERLINK("https://lsnyc.legalserver.org/matter/dynamic-profile/view/0821543","16-0821543")</f>
        <v>0</v>
      </c>
      <c r="B956" t="s">
        <v>13</v>
      </c>
      <c r="C956" t="s">
        <v>535</v>
      </c>
      <c r="D956" t="s">
        <v>1254</v>
      </c>
      <c r="E956" t="s">
        <v>1943</v>
      </c>
      <c r="F956" t="s">
        <v>2089</v>
      </c>
      <c r="G956">
        <v>10452</v>
      </c>
      <c r="K956">
        <v>1</v>
      </c>
      <c r="L956">
        <v>0</v>
      </c>
      <c r="M956">
        <v>120.1</v>
      </c>
    </row>
    <row r="957" spans="1:13">
      <c r="A957" s="1">
        <f>HYPERLINK("https://lsnyc.legalserver.org/matter/dynamic-profile/view/1847265","17-1847265")</f>
        <v>0</v>
      </c>
      <c r="B957" t="s">
        <v>13</v>
      </c>
      <c r="C957" t="s">
        <v>530</v>
      </c>
      <c r="D957" t="s">
        <v>1249</v>
      </c>
      <c r="E957" t="s">
        <v>1619</v>
      </c>
      <c r="F957" t="s">
        <v>2091</v>
      </c>
      <c r="G957">
        <v>11206</v>
      </c>
      <c r="K957">
        <v>1</v>
      </c>
      <c r="L957">
        <v>0</v>
      </c>
      <c r="M957">
        <v>120.12</v>
      </c>
    </row>
    <row r="958" spans="1:13">
      <c r="A958" s="1">
        <f>HYPERLINK("https://lsnyc.legalserver.org/matter/dynamic-profile/view/1857558","18-1857558")</f>
        <v>0</v>
      </c>
      <c r="B958" t="s">
        <v>13</v>
      </c>
      <c r="C958" t="s">
        <v>530</v>
      </c>
      <c r="D958" t="s">
        <v>1249</v>
      </c>
      <c r="E958" t="s">
        <v>1619</v>
      </c>
      <c r="F958" t="s">
        <v>2091</v>
      </c>
      <c r="G958">
        <v>11206</v>
      </c>
      <c r="K958">
        <v>1</v>
      </c>
      <c r="L958">
        <v>0</v>
      </c>
      <c r="M958">
        <v>120.12</v>
      </c>
    </row>
    <row r="959" spans="1:13">
      <c r="A959" s="1">
        <f>HYPERLINK("https://lsnyc.legalserver.org/matter/dynamic-profile/view/0821156","16-0821156")</f>
        <v>0</v>
      </c>
      <c r="B959" t="s">
        <v>13</v>
      </c>
      <c r="C959" t="s">
        <v>83</v>
      </c>
      <c r="D959" t="s">
        <v>1255</v>
      </c>
      <c r="E959" t="s">
        <v>1944</v>
      </c>
      <c r="F959" t="s">
        <v>2093</v>
      </c>
      <c r="G959">
        <v>10040</v>
      </c>
      <c r="K959">
        <v>1</v>
      </c>
      <c r="L959">
        <v>0</v>
      </c>
      <c r="M959">
        <v>120.25</v>
      </c>
    </row>
    <row r="960" spans="1:13">
      <c r="A960" s="1">
        <f>HYPERLINK("https://lsnyc.legalserver.org/matter/dynamic-profile/view/0817858","16-0817858")</f>
        <v>0</v>
      </c>
      <c r="B960" t="s">
        <v>13</v>
      </c>
      <c r="C960" t="s">
        <v>56</v>
      </c>
      <c r="D960" t="s">
        <v>1256</v>
      </c>
      <c r="E960" t="s">
        <v>1453</v>
      </c>
      <c r="F960" t="s">
        <v>2089</v>
      </c>
      <c r="G960">
        <v>10452</v>
      </c>
      <c r="K960">
        <v>1</v>
      </c>
      <c r="L960">
        <v>0</v>
      </c>
      <c r="M960">
        <v>120.37</v>
      </c>
    </row>
    <row r="961" spans="1:13">
      <c r="A961" s="1">
        <f>HYPERLINK("https://lsnyc.legalserver.org/matter/dynamic-profile/view/1840172","17-1840172")</f>
        <v>0</v>
      </c>
      <c r="B961" t="s">
        <v>13</v>
      </c>
      <c r="C961" t="s">
        <v>536</v>
      </c>
      <c r="D961" t="s">
        <v>1257</v>
      </c>
      <c r="E961" t="s">
        <v>1881</v>
      </c>
      <c r="F961" t="s">
        <v>2093</v>
      </c>
      <c r="G961">
        <v>10040</v>
      </c>
      <c r="K961">
        <v>2</v>
      </c>
      <c r="L961">
        <v>0</v>
      </c>
      <c r="M961">
        <v>121.03</v>
      </c>
    </row>
    <row r="962" spans="1:13">
      <c r="A962" s="1">
        <f>HYPERLINK("https://lsnyc.legalserver.org/matter/dynamic-profile/view/1851906","17-1851906")</f>
        <v>0</v>
      </c>
      <c r="B962" t="s">
        <v>13</v>
      </c>
      <c r="C962" t="s">
        <v>537</v>
      </c>
      <c r="D962" t="s">
        <v>843</v>
      </c>
      <c r="E962" t="s">
        <v>1838</v>
      </c>
      <c r="F962" t="s">
        <v>2093</v>
      </c>
      <c r="G962">
        <v>10029</v>
      </c>
      <c r="K962">
        <v>2</v>
      </c>
      <c r="L962">
        <v>0</v>
      </c>
      <c r="M962">
        <v>121.18</v>
      </c>
    </row>
    <row r="963" spans="1:13">
      <c r="A963" s="1">
        <f>HYPERLINK("https://lsnyc.legalserver.org/matter/dynamic-profile/view/0798245","16-0798245")</f>
        <v>0</v>
      </c>
      <c r="B963" t="s">
        <v>13</v>
      </c>
      <c r="C963" t="s">
        <v>538</v>
      </c>
      <c r="D963" t="s">
        <v>1258</v>
      </c>
      <c r="E963" t="s">
        <v>1945</v>
      </c>
      <c r="F963" t="s">
        <v>2092</v>
      </c>
      <c r="G963">
        <v>11354</v>
      </c>
      <c r="K963">
        <v>1</v>
      </c>
      <c r="L963">
        <v>0</v>
      </c>
      <c r="M963">
        <v>121.21</v>
      </c>
    </row>
    <row r="964" spans="1:13">
      <c r="A964" s="1">
        <f>HYPERLINK("https://lsnyc.legalserver.org/matter/dynamic-profile/view/1850197","17-1850197")</f>
        <v>0</v>
      </c>
      <c r="B964" t="s">
        <v>13</v>
      </c>
      <c r="C964" t="s">
        <v>539</v>
      </c>
      <c r="D964" t="s">
        <v>1259</v>
      </c>
      <c r="E964" t="s">
        <v>1914</v>
      </c>
      <c r="F964" t="s">
        <v>2091</v>
      </c>
      <c r="G964">
        <v>11219</v>
      </c>
      <c r="K964">
        <v>2</v>
      </c>
      <c r="L964">
        <v>0</v>
      </c>
      <c r="M964">
        <v>121.33</v>
      </c>
    </row>
    <row r="965" spans="1:13">
      <c r="A965" s="1">
        <f>HYPERLINK("https://lsnyc.legalserver.org/matter/dynamic-profile/view/1850191","17-1850191")</f>
        <v>0</v>
      </c>
      <c r="B965" t="s">
        <v>13</v>
      </c>
      <c r="C965" t="s">
        <v>539</v>
      </c>
      <c r="D965" t="s">
        <v>1259</v>
      </c>
      <c r="E965" t="s">
        <v>1914</v>
      </c>
      <c r="F965" t="s">
        <v>2091</v>
      </c>
      <c r="G965">
        <v>11219</v>
      </c>
      <c r="K965">
        <v>2</v>
      </c>
      <c r="L965">
        <v>0</v>
      </c>
      <c r="M965">
        <v>121.33</v>
      </c>
    </row>
    <row r="966" spans="1:13">
      <c r="A966" s="1">
        <f>HYPERLINK("https://lsnyc.legalserver.org/matter/dynamic-profile/view/1868991","18-1868991")</f>
        <v>0</v>
      </c>
      <c r="B966" t="s">
        <v>13</v>
      </c>
      <c r="C966" t="s">
        <v>540</v>
      </c>
      <c r="D966" t="s">
        <v>1230</v>
      </c>
      <c r="E966" t="s">
        <v>1915</v>
      </c>
      <c r="F966" t="s">
        <v>2094</v>
      </c>
      <c r="G966">
        <v>11432</v>
      </c>
      <c r="K966">
        <v>2</v>
      </c>
      <c r="L966">
        <v>0</v>
      </c>
      <c r="M966">
        <v>121.51</v>
      </c>
    </row>
    <row r="967" spans="1:13">
      <c r="A967" s="1">
        <f>HYPERLINK("https://lsnyc.legalserver.org/matter/dynamic-profile/view/1834771","17-1834771")</f>
        <v>0</v>
      </c>
      <c r="B967" t="s">
        <v>13</v>
      </c>
      <c r="C967" t="s">
        <v>146</v>
      </c>
      <c r="D967" t="s">
        <v>1019</v>
      </c>
      <c r="E967" t="s">
        <v>1727</v>
      </c>
      <c r="F967" t="s">
        <v>2093</v>
      </c>
      <c r="G967">
        <v>10035</v>
      </c>
      <c r="K967">
        <v>1</v>
      </c>
      <c r="L967">
        <v>0</v>
      </c>
      <c r="M967">
        <v>121.59</v>
      </c>
    </row>
    <row r="968" spans="1:13">
      <c r="A968" s="1">
        <f>HYPERLINK("https://lsnyc.legalserver.org/matter/dynamic-profile/view/0822766","16-0822766")</f>
        <v>0</v>
      </c>
      <c r="B968" t="s">
        <v>13</v>
      </c>
      <c r="C968" t="s">
        <v>541</v>
      </c>
      <c r="D968" t="s">
        <v>1260</v>
      </c>
      <c r="E968" t="s">
        <v>1460</v>
      </c>
      <c r="F968" t="s">
        <v>2089</v>
      </c>
      <c r="G968">
        <v>10453</v>
      </c>
      <c r="K968">
        <v>2</v>
      </c>
      <c r="L968">
        <v>0</v>
      </c>
      <c r="M968">
        <v>121.72</v>
      </c>
    </row>
    <row r="969" spans="1:13">
      <c r="A969" s="1">
        <f>HYPERLINK("https://lsnyc.legalserver.org/matter/dynamic-profile/view/0822769","16-0822769")</f>
        <v>0</v>
      </c>
      <c r="B969" t="s">
        <v>13</v>
      </c>
      <c r="C969" t="s">
        <v>541</v>
      </c>
      <c r="D969" t="s">
        <v>1260</v>
      </c>
      <c r="E969" t="s">
        <v>1460</v>
      </c>
      <c r="F969" t="s">
        <v>2089</v>
      </c>
      <c r="G969">
        <v>10453</v>
      </c>
      <c r="K969">
        <v>2</v>
      </c>
      <c r="L969">
        <v>0</v>
      </c>
      <c r="M969">
        <v>121.72</v>
      </c>
    </row>
    <row r="970" spans="1:13">
      <c r="A970" s="1">
        <f>HYPERLINK("https://lsnyc.legalserver.org/matter/dynamic-profile/view/1833099","17-1833099")</f>
        <v>0</v>
      </c>
      <c r="B970" t="s">
        <v>13</v>
      </c>
      <c r="C970" t="s">
        <v>542</v>
      </c>
      <c r="D970" t="s">
        <v>1261</v>
      </c>
      <c r="E970" t="s">
        <v>1946</v>
      </c>
      <c r="F970" t="s">
        <v>2091</v>
      </c>
      <c r="G970">
        <v>11226</v>
      </c>
      <c r="K970">
        <v>3</v>
      </c>
      <c r="L970">
        <v>0</v>
      </c>
      <c r="M970">
        <v>122.43</v>
      </c>
    </row>
    <row r="971" spans="1:13">
      <c r="A971" s="1">
        <f>HYPERLINK("https://lsnyc.legalserver.org/matter/dynamic-profile/view/1867943","18-1867943")</f>
        <v>0</v>
      </c>
      <c r="B971" t="s">
        <v>13</v>
      </c>
      <c r="C971" t="s">
        <v>543</v>
      </c>
      <c r="D971" t="s">
        <v>1262</v>
      </c>
      <c r="E971" t="s">
        <v>1947</v>
      </c>
      <c r="F971" t="s">
        <v>2095</v>
      </c>
      <c r="G971">
        <v>11691</v>
      </c>
      <c r="K971">
        <v>3</v>
      </c>
      <c r="L971">
        <v>0</v>
      </c>
      <c r="M971">
        <v>122.43</v>
      </c>
    </row>
    <row r="972" spans="1:13">
      <c r="A972" s="1">
        <f>HYPERLINK("https://lsnyc.legalserver.org/matter/dynamic-profile/view/1841663","17-1841663")</f>
        <v>0</v>
      </c>
      <c r="B972" t="s">
        <v>13</v>
      </c>
      <c r="C972" t="s">
        <v>544</v>
      </c>
      <c r="D972" t="s">
        <v>1263</v>
      </c>
      <c r="E972" t="s">
        <v>1460</v>
      </c>
      <c r="F972" t="s">
        <v>2089</v>
      </c>
      <c r="G972">
        <v>10453</v>
      </c>
      <c r="K972">
        <v>2</v>
      </c>
      <c r="L972">
        <v>0</v>
      </c>
      <c r="M972">
        <v>123.15</v>
      </c>
    </row>
    <row r="973" spans="1:13">
      <c r="A973" s="1">
        <f>HYPERLINK("https://lsnyc.legalserver.org/matter/dynamic-profile/view/1841664","17-1841664")</f>
        <v>0</v>
      </c>
      <c r="B973" t="s">
        <v>13</v>
      </c>
      <c r="C973" t="s">
        <v>544</v>
      </c>
      <c r="D973" t="s">
        <v>1263</v>
      </c>
      <c r="E973" t="s">
        <v>1460</v>
      </c>
      <c r="F973" t="s">
        <v>2089</v>
      </c>
      <c r="G973">
        <v>10453</v>
      </c>
      <c r="K973">
        <v>2</v>
      </c>
      <c r="L973">
        <v>0</v>
      </c>
      <c r="M973">
        <v>123.15</v>
      </c>
    </row>
    <row r="974" spans="1:13">
      <c r="A974" s="1">
        <f>HYPERLINK("https://lsnyc.legalserver.org/matter/dynamic-profile/view/1841669","17-1841669")</f>
        <v>0</v>
      </c>
      <c r="B974" t="s">
        <v>13</v>
      </c>
      <c r="C974" t="s">
        <v>544</v>
      </c>
      <c r="D974" t="s">
        <v>1263</v>
      </c>
      <c r="E974" t="s">
        <v>1460</v>
      </c>
      <c r="F974" t="s">
        <v>2089</v>
      </c>
      <c r="G974">
        <v>10453</v>
      </c>
      <c r="K974">
        <v>2</v>
      </c>
      <c r="L974">
        <v>0</v>
      </c>
      <c r="M974">
        <v>123.15</v>
      </c>
    </row>
    <row r="975" spans="1:13">
      <c r="A975" s="1">
        <f>HYPERLINK("https://lsnyc.legalserver.org/matter/dynamic-profile/view/1844968","17-1844968")</f>
        <v>0</v>
      </c>
      <c r="B975" t="s">
        <v>13</v>
      </c>
      <c r="C975" t="s">
        <v>545</v>
      </c>
      <c r="D975" t="s">
        <v>1264</v>
      </c>
      <c r="E975" t="s">
        <v>1634</v>
      </c>
      <c r="F975" t="s">
        <v>2091</v>
      </c>
      <c r="G975">
        <v>11213</v>
      </c>
      <c r="K975">
        <v>3</v>
      </c>
      <c r="L975">
        <v>0</v>
      </c>
      <c r="M975">
        <v>123.21</v>
      </c>
    </row>
    <row r="976" spans="1:13">
      <c r="A976" s="1">
        <f>HYPERLINK("https://lsnyc.legalserver.org/matter/dynamic-profile/view/0827301","17-0827301")</f>
        <v>0</v>
      </c>
      <c r="B976" t="s">
        <v>13</v>
      </c>
      <c r="C976" t="s">
        <v>546</v>
      </c>
      <c r="D976" t="s">
        <v>1265</v>
      </c>
      <c r="E976" t="s">
        <v>1824</v>
      </c>
      <c r="F976" t="s">
        <v>2093</v>
      </c>
      <c r="G976">
        <v>10034</v>
      </c>
      <c r="K976">
        <v>1</v>
      </c>
      <c r="L976">
        <v>0</v>
      </c>
      <c r="M976">
        <v>123.55</v>
      </c>
    </row>
    <row r="977" spans="1:13">
      <c r="A977" s="1">
        <f>HYPERLINK("https://lsnyc.legalserver.org/matter/dynamic-profile/view/0827601","17-0827601")</f>
        <v>0</v>
      </c>
      <c r="B977" t="s">
        <v>13</v>
      </c>
      <c r="C977" t="s">
        <v>547</v>
      </c>
      <c r="D977" t="s">
        <v>1266</v>
      </c>
      <c r="E977" t="s">
        <v>1948</v>
      </c>
      <c r="F977" t="s">
        <v>2093</v>
      </c>
      <c r="G977">
        <v>10002</v>
      </c>
      <c r="K977">
        <v>2</v>
      </c>
      <c r="L977">
        <v>0</v>
      </c>
      <c r="M977">
        <v>123.92</v>
      </c>
    </row>
    <row r="978" spans="1:13">
      <c r="A978" s="1">
        <f>HYPERLINK("https://lsnyc.legalserver.org/matter/dynamic-profile/view/1844546","17-1844546")</f>
        <v>0</v>
      </c>
      <c r="B978" t="s">
        <v>13</v>
      </c>
      <c r="C978" t="s">
        <v>548</v>
      </c>
      <c r="D978" t="s">
        <v>1267</v>
      </c>
      <c r="E978" t="s">
        <v>1949</v>
      </c>
      <c r="F978" t="s">
        <v>2093</v>
      </c>
      <c r="G978">
        <v>10029</v>
      </c>
      <c r="K978">
        <v>2</v>
      </c>
      <c r="L978">
        <v>0</v>
      </c>
      <c r="M978">
        <v>123.99</v>
      </c>
    </row>
    <row r="979" spans="1:13">
      <c r="A979" s="1">
        <f>HYPERLINK("https://lsnyc.legalserver.org/matter/dynamic-profile/view/0814372","16-0814372")</f>
        <v>0</v>
      </c>
      <c r="B979" t="s">
        <v>13</v>
      </c>
      <c r="C979" t="s">
        <v>521</v>
      </c>
      <c r="D979" t="s">
        <v>1268</v>
      </c>
      <c r="E979" t="s">
        <v>1950</v>
      </c>
      <c r="F979" t="s">
        <v>2093</v>
      </c>
      <c r="G979">
        <v>10034</v>
      </c>
      <c r="K979">
        <v>1</v>
      </c>
      <c r="L979">
        <v>0</v>
      </c>
      <c r="M979">
        <v>124.58</v>
      </c>
    </row>
    <row r="980" spans="1:13">
      <c r="A980" s="1">
        <f>HYPERLINK("https://lsnyc.legalserver.org/matter/dynamic-profile/view/0826270","17-0826270")</f>
        <v>0</v>
      </c>
      <c r="B980" t="s">
        <v>13</v>
      </c>
      <c r="C980" t="s">
        <v>521</v>
      </c>
      <c r="D980" t="s">
        <v>1268</v>
      </c>
      <c r="E980" t="s">
        <v>1950</v>
      </c>
      <c r="F980" t="s">
        <v>2093</v>
      </c>
      <c r="G980">
        <v>10034</v>
      </c>
      <c r="K980">
        <v>1</v>
      </c>
      <c r="L980">
        <v>0</v>
      </c>
      <c r="M980">
        <v>124.58</v>
      </c>
    </row>
    <row r="981" spans="1:13">
      <c r="A981" s="1">
        <f>HYPERLINK("https://lsnyc.legalserver.org/matter/dynamic-profile/view/1857544","18-1857544")</f>
        <v>0</v>
      </c>
      <c r="B981" t="s">
        <v>13</v>
      </c>
      <c r="C981" t="s">
        <v>549</v>
      </c>
      <c r="D981" t="s">
        <v>995</v>
      </c>
      <c r="E981" t="s">
        <v>1951</v>
      </c>
      <c r="F981" t="s">
        <v>2091</v>
      </c>
      <c r="G981">
        <v>11207</v>
      </c>
      <c r="K981">
        <v>3</v>
      </c>
      <c r="L981">
        <v>0</v>
      </c>
      <c r="M981">
        <v>125.12</v>
      </c>
    </row>
    <row r="982" spans="1:13">
      <c r="A982" s="1">
        <f>HYPERLINK("https://lsnyc.legalserver.org/matter/dynamic-profile/view/1842850","17-1842850")</f>
        <v>0</v>
      </c>
      <c r="B982" t="s">
        <v>13</v>
      </c>
      <c r="C982" t="s">
        <v>550</v>
      </c>
      <c r="D982" t="s">
        <v>1269</v>
      </c>
      <c r="E982" t="s">
        <v>1472</v>
      </c>
      <c r="F982" t="s">
        <v>2090</v>
      </c>
      <c r="G982">
        <v>10314</v>
      </c>
      <c r="K982">
        <v>1</v>
      </c>
      <c r="L982">
        <v>0</v>
      </c>
      <c r="M982">
        <v>125.17</v>
      </c>
    </row>
    <row r="983" spans="1:13">
      <c r="A983" s="1">
        <f>HYPERLINK("https://lsnyc.legalserver.org/matter/dynamic-profile/view/1856495","18-1856495")</f>
        <v>0</v>
      </c>
      <c r="B983" t="s">
        <v>13</v>
      </c>
      <c r="C983" t="s">
        <v>551</v>
      </c>
      <c r="D983" t="s">
        <v>470</v>
      </c>
      <c r="E983" t="s">
        <v>1684</v>
      </c>
      <c r="F983" t="s">
        <v>2089</v>
      </c>
      <c r="G983">
        <v>10453</v>
      </c>
      <c r="K983">
        <v>3</v>
      </c>
      <c r="L983">
        <v>0</v>
      </c>
      <c r="M983">
        <v>125.37</v>
      </c>
    </row>
    <row r="984" spans="1:13">
      <c r="A984" s="1">
        <f>HYPERLINK("https://lsnyc.legalserver.org/matter/dynamic-profile/view/1859460","18-1859460")</f>
        <v>0</v>
      </c>
      <c r="B984" t="s">
        <v>13</v>
      </c>
      <c r="C984" t="s">
        <v>551</v>
      </c>
      <c r="D984" t="s">
        <v>470</v>
      </c>
      <c r="E984" t="s">
        <v>1684</v>
      </c>
      <c r="F984" t="s">
        <v>2089</v>
      </c>
      <c r="G984">
        <v>10453</v>
      </c>
      <c r="K984">
        <v>3</v>
      </c>
      <c r="L984">
        <v>0</v>
      </c>
      <c r="M984">
        <v>125.37</v>
      </c>
    </row>
    <row r="985" spans="1:13">
      <c r="A985" s="1">
        <f>HYPERLINK("https://lsnyc.legalserver.org/matter/dynamic-profile/view/1838852","17-1838852")</f>
        <v>0</v>
      </c>
      <c r="B985" t="s">
        <v>13</v>
      </c>
      <c r="C985" t="s">
        <v>118</v>
      </c>
      <c r="D985" t="s">
        <v>1270</v>
      </c>
      <c r="E985" t="s">
        <v>1952</v>
      </c>
      <c r="F985" t="s">
        <v>2089</v>
      </c>
      <c r="G985">
        <v>10473</v>
      </c>
      <c r="K985">
        <v>1</v>
      </c>
      <c r="L985">
        <v>0</v>
      </c>
      <c r="M985">
        <v>125.47</v>
      </c>
    </row>
    <row r="986" spans="1:13">
      <c r="A986" s="1">
        <f>HYPERLINK("https://lsnyc.legalserver.org/matter/dynamic-profile/view/0830504","17-0830504")</f>
        <v>0</v>
      </c>
      <c r="B986" t="s">
        <v>13</v>
      </c>
      <c r="C986" t="s">
        <v>501</v>
      </c>
      <c r="D986" t="s">
        <v>1271</v>
      </c>
      <c r="E986" t="s">
        <v>1692</v>
      </c>
      <c r="F986" t="s">
        <v>2091</v>
      </c>
      <c r="G986">
        <v>11213</v>
      </c>
      <c r="K986">
        <v>2</v>
      </c>
      <c r="L986">
        <v>0</v>
      </c>
      <c r="M986">
        <v>125.62</v>
      </c>
    </row>
    <row r="987" spans="1:13">
      <c r="A987" s="1">
        <f>HYPERLINK("https://lsnyc.legalserver.org/matter/dynamic-profile/view/1840326","17-1840326")</f>
        <v>0</v>
      </c>
      <c r="B987" t="s">
        <v>13</v>
      </c>
      <c r="C987" t="s">
        <v>552</v>
      </c>
      <c r="D987" t="s">
        <v>303</v>
      </c>
      <c r="E987" t="s">
        <v>1953</v>
      </c>
      <c r="F987" t="s">
        <v>2093</v>
      </c>
      <c r="G987">
        <v>10035</v>
      </c>
      <c r="K987">
        <v>1</v>
      </c>
      <c r="L987">
        <v>0</v>
      </c>
      <c r="M987">
        <v>126.27</v>
      </c>
    </row>
    <row r="988" spans="1:13">
      <c r="A988" s="1">
        <f>HYPERLINK("https://lsnyc.legalserver.org/matter/dynamic-profile/view/1861760","18-1861760")</f>
        <v>0</v>
      </c>
      <c r="B988" t="s">
        <v>13</v>
      </c>
      <c r="C988" t="s">
        <v>81</v>
      </c>
      <c r="D988" t="s">
        <v>1272</v>
      </c>
      <c r="E988" t="s">
        <v>1954</v>
      </c>
      <c r="F988" t="s">
        <v>2089</v>
      </c>
      <c r="G988">
        <v>10453</v>
      </c>
      <c r="K988">
        <v>2</v>
      </c>
      <c r="L988">
        <v>0</v>
      </c>
      <c r="M988">
        <v>126.37</v>
      </c>
    </row>
    <row r="989" spans="1:13">
      <c r="A989" s="1">
        <f>HYPERLINK("https://lsnyc.legalserver.org/matter/dynamic-profile/view/1859281","18-1859281")</f>
        <v>0</v>
      </c>
      <c r="B989" t="s">
        <v>13</v>
      </c>
      <c r="C989" t="s">
        <v>553</v>
      </c>
      <c r="D989" t="s">
        <v>1273</v>
      </c>
      <c r="E989" t="s">
        <v>1684</v>
      </c>
      <c r="F989" t="s">
        <v>2089</v>
      </c>
      <c r="G989">
        <v>10453</v>
      </c>
      <c r="K989">
        <v>2</v>
      </c>
      <c r="L989">
        <v>0</v>
      </c>
      <c r="M989">
        <v>126.37</v>
      </c>
    </row>
    <row r="990" spans="1:13">
      <c r="A990" s="1">
        <f>HYPERLINK("https://lsnyc.legalserver.org/matter/dynamic-profile/view/0799622","16-0799622")</f>
        <v>0</v>
      </c>
      <c r="B990" t="s">
        <v>13</v>
      </c>
      <c r="C990" t="s">
        <v>447</v>
      </c>
      <c r="D990" t="s">
        <v>793</v>
      </c>
      <c r="E990" t="s">
        <v>1533</v>
      </c>
      <c r="F990" t="s">
        <v>2089</v>
      </c>
      <c r="G990">
        <v>10452</v>
      </c>
      <c r="K990">
        <v>2</v>
      </c>
      <c r="L990">
        <v>0</v>
      </c>
      <c r="M990">
        <v>127.24</v>
      </c>
    </row>
    <row r="991" spans="1:13">
      <c r="A991" s="1">
        <f>HYPERLINK("https://lsnyc.legalserver.org/matter/dynamic-profile/view/0816953","16-0816953")</f>
        <v>0</v>
      </c>
      <c r="B991" t="s">
        <v>13</v>
      </c>
      <c r="C991" t="s">
        <v>447</v>
      </c>
      <c r="D991" t="s">
        <v>793</v>
      </c>
      <c r="E991" t="s">
        <v>1533</v>
      </c>
      <c r="F991" t="s">
        <v>2089</v>
      </c>
      <c r="G991">
        <v>10452</v>
      </c>
      <c r="K991">
        <v>2</v>
      </c>
      <c r="L991">
        <v>0</v>
      </c>
      <c r="M991">
        <v>127.24</v>
      </c>
    </row>
    <row r="992" spans="1:13">
      <c r="A992" s="1">
        <f>HYPERLINK("https://lsnyc.legalserver.org/matter/dynamic-profile/view/0822616","16-0822616")</f>
        <v>0</v>
      </c>
      <c r="B992" t="s">
        <v>13</v>
      </c>
      <c r="C992" t="s">
        <v>447</v>
      </c>
      <c r="D992" t="s">
        <v>793</v>
      </c>
      <c r="E992" t="s">
        <v>1533</v>
      </c>
      <c r="F992" t="s">
        <v>2089</v>
      </c>
      <c r="G992">
        <v>10452</v>
      </c>
      <c r="K992">
        <v>2</v>
      </c>
      <c r="L992">
        <v>0</v>
      </c>
      <c r="M992">
        <v>127.24</v>
      </c>
    </row>
    <row r="993" spans="1:13">
      <c r="A993" s="1">
        <f>HYPERLINK("https://lsnyc.legalserver.org/matter/dynamic-profile/view/1840055","17-1840055")</f>
        <v>0</v>
      </c>
      <c r="B993" t="s">
        <v>13</v>
      </c>
      <c r="C993" t="s">
        <v>554</v>
      </c>
      <c r="D993" t="s">
        <v>906</v>
      </c>
      <c r="E993" t="s">
        <v>1881</v>
      </c>
      <c r="F993" t="s">
        <v>2093</v>
      </c>
      <c r="G993">
        <v>10040</v>
      </c>
      <c r="K993">
        <v>3</v>
      </c>
      <c r="L993">
        <v>0</v>
      </c>
      <c r="M993">
        <v>127.33</v>
      </c>
    </row>
    <row r="994" spans="1:13">
      <c r="A994" s="1">
        <f>HYPERLINK("https://lsnyc.legalserver.org/matter/dynamic-profile/view/1857591","18-1857591")</f>
        <v>0</v>
      </c>
      <c r="B994" t="s">
        <v>13</v>
      </c>
      <c r="C994" t="s">
        <v>436</v>
      </c>
      <c r="D994" t="s">
        <v>1274</v>
      </c>
      <c r="E994" t="s">
        <v>1613</v>
      </c>
      <c r="F994" t="s">
        <v>2090</v>
      </c>
      <c r="G994">
        <v>10304</v>
      </c>
      <c r="K994">
        <v>1</v>
      </c>
      <c r="L994">
        <v>0</v>
      </c>
      <c r="M994">
        <v>127.66</v>
      </c>
    </row>
    <row r="995" spans="1:13">
      <c r="A995" s="1">
        <f>HYPERLINK("https://lsnyc.legalserver.org/matter/dynamic-profile/view/1836853","17-1836853")</f>
        <v>0</v>
      </c>
      <c r="B995" t="s">
        <v>13</v>
      </c>
      <c r="C995" t="s">
        <v>323</v>
      </c>
      <c r="D995" t="s">
        <v>960</v>
      </c>
      <c r="E995" t="s">
        <v>1955</v>
      </c>
      <c r="F995" t="s">
        <v>2093</v>
      </c>
      <c r="G995">
        <v>10033</v>
      </c>
      <c r="K995">
        <v>2</v>
      </c>
      <c r="L995">
        <v>0</v>
      </c>
      <c r="M995">
        <v>128.08</v>
      </c>
    </row>
    <row r="996" spans="1:13">
      <c r="A996" s="1">
        <f>HYPERLINK("https://lsnyc.legalserver.org/matter/dynamic-profile/view/1856259","18-1856259")</f>
        <v>0</v>
      </c>
      <c r="B996" t="s">
        <v>13</v>
      </c>
      <c r="C996" t="s">
        <v>553</v>
      </c>
      <c r="D996" t="s">
        <v>1273</v>
      </c>
      <c r="E996" t="s">
        <v>1684</v>
      </c>
      <c r="F996" t="s">
        <v>2089</v>
      </c>
      <c r="G996">
        <v>10453</v>
      </c>
      <c r="K996">
        <v>2</v>
      </c>
      <c r="L996">
        <v>0</v>
      </c>
      <c r="M996">
        <v>128.08</v>
      </c>
    </row>
    <row r="997" spans="1:13">
      <c r="A997" s="1">
        <f>HYPERLINK("https://lsnyc.legalserver.org/matter/dynamic-profile/view/1864485","18-1864485")</f>
        <v>0</v>
      </c>
      <c r="B997" t="s">
        <v>13</v>
      </c>
      <c r="C997" t="s">
        <v>555</v>
      </c>
      <c r="D997" t="s">
        <v>743</v>
      </c>
      <c r="E997" t="s">
        <v>1956</v>
      </c>
      <c r="F997" t="s">
        <v>2093</v>
      </c>
      <c r="G997">
        <v>10034</v>
      </c>
      <c r="K997">
        <v>3</v>
      </c>
      <c r="L997">
        <v>0</v>
      </c>
      <c r="M997">
        <v>128.12</v>
      </c>
    </row>
    <row r="998" spans="1:13">
      <c r="A998" s="1">
        <f>HYPERLINK("https://lsnyc.legalserver.org/matter/dynamic-profile/view/1833135","17-1833135")</f>
        <v>0</v>
      </c>
      <c r="B998" t="s">
        <v>13</v>
      </c>
      <c r="C998" t="s">
        <v>377</v>
      </c>
      <c r="D998" t="s">
        <v>1275</v>
      </c>
      <c r="E998" t="s">
        <v>1957</v>
      </c>
      <c r="F998" t="s">
        <v>2089</v>
      </c>
      <c r="G998">
        <v>10467</v>
      </c>
      <c r="K998">
        <v>2</v>
      </c>
      <c r="L998">
        <v>0</v>
      </c>
      <c r="M998">
        <v>128.27</v>
      </c>
    </row>
    <row r="999" spans="1:13">
      <c r="A999" s="1">
        <f>HYPERLINK("https://lsnyc.legalserver.org/matter/dynamic-profile/view/1870852","18-1870852")</f>
        <v>0</v>
      </c>
      <c r="B999" t="s">
        <v>13</v>
      </c>
      <c r="C999" t="s">
        <v>556</v>
      </c>
      <c r="D999" t="s">
        <v>923</v>
      </c>
      <c r="E999" t="s">
        <v>1958</v>
      </c>
      <c r="F999" t="s">
        <v>2093</v>
      </c>
      <c r="G999">
        <v>10034</v>
      </c>
      <c r="K999">
        <v>1</v>
      </c>
      <c r="L999">
        <v>0</v>
      </c>
      <c r="M999">
        <v>128.5</v>
      </c>
    </row>
    <row r="1000" spans="1:13">
      <c r="A1000" s="1">
        <f>HYPERLINK("https://lsnyc.legalserver.org/matter/dynamic-profile/view/1865415","18-1865415")</f>
        <v>0</v>
      </c>
      <c r="B1000" t="s">
        <v>13</v>
      </c>
      <c r="C1000" t="s">
        <v>557</v>
      </c>
      <c r="D1000" t="s">
        <v>1174</v>
      </c>
      <c r="E1000" t="s">
        <v>1959</v>
      </c>
      <c r="F1000" t="s">
        <v>2089</v>
      </c>
      <c r="G1000">
        <v>10458</v>
      </c>
      <c r="K1000">
        <v>4</v>
      </c>
      <c r="L1000">
        <v>0</v>
      </c>
      <c r="M1000">
        <v>128.84</v>
      </c>
    </row>
    <row r="1001" spans="1:13">
      <c r="A1001" s="1">
        <f>HYPERLINK("https://lsnyc.legalserver.org/matter/dynamic-profile/view/1865390","18-1865390")</f>
        <v>0</v>
      </c>
      <c r="B1001" t="s">
        <v>13</v>
      </c>
      <c r="C1001" t="s">
        <v>557</v>
      </c>
      <c r="D1001" t="s">
        <v>1174</v>
      </c>
      <c r="E1001" t="s">
        <v>1959</v>
      </c>
      <c r="F1001" t="s">
        <v>2089</v>
      </c>
      <c r="G1001">
        <v>10458</v>
      </c>
      <c r="K1001">
        <v>4</v>
      </c>
      <c r="L1001">
        <v>0</v>
      </c>
      <c r="M1001">
        <v>128.84</v>
      </c>
    </row>
    <row r="1002" spans="1:13">
      <c r="A1002" s="1">
        <f>HYPERLINK("https://lsnyc.legalserver.org/matter/dynamic-profile/view/1867701","18-1867701")</f>
        <v>0</v>
      </c>
      <c r="B1002" t="s">
        <v>13</v>
      </c>
      <c r="C1002" t="s">
        <v>557</v>
      </c>
      <c r="D1002" t="s">
        <v>1174</v>
      </c>
      <c r="E1002" t="s">
        <v>1959</v>
      </c>
      <c r="F1002" t="s">
        <v>2089</v>
      </c>
      <c r="G1002">
        <v>10458</v>
      </c>
      <c r="K1002">
        <v>4</v>
      </c>
      <c r="L1002">
        <v>0</v>
      </c>
      <c r="M1002">
        <v>128.84</v>
      </c>
    </row>
    <row r="1003" spans="1:13">
      <c r="A1003" s="1">
        <f>HYPERLINK("https://lsnyc.legalserver.org/matter/dynamic-profile/view/1864095","18-1864095")</f>
        <v>0</v>
      </c>
      <c r="B1003" t="s">
        <v>13</v>
      </c>
      <c r="C1003" t="s">
        <v>243</v>
      </c>
      <c r="D1003" t="s">
        <v>915</v>
      </c>
      <c r="E1003" t="s">
        <v>1858</v>
      </c>
      <c r="F1003" t="s">
        <v>2093</v>
      </c>
      <c r="G1003">
        <v>10040</v>
      </c>
      <c r="K1003">
        <v>3</v>
      </c>
      <c r="L1003">
        <v>0</v>
      </c>
      <c r="M1003">
        <v>128.91</v>
      </c>
    </row>
    <row r="1004" spans="1:13">
      <c r="A1004" s="1">
        <f>HYPERLINK("https://lsnyc.legalserver.org/matter/dynamic-profile/view/0822895","16-0822895")</f>
        <v>0</v>
      </c>
      <c r="B1004" t="s">
        <v>13</v>
      </c>
      <c r="C1004" t="s">
        <v>39</v>
      </c>
      <c r="D1004" t="s">
        <v>778</v>
      </c>
      <c r="E1004" t="s">
        <v>1672</v>
      </c>
      <c r="F1004" t="s">
        <v>2093</v>
      </c>
      <c r="G1004">
        <v>10031</v>
      </c>
      <c r="K1004">
        <v>3</v>
      </c>
      <c r="L1004">
        <v>0</v>
      </c>
      <c r="M1004">
        <v>128.97</v>
      </c>
    </row>
    <row r="1005" spans="1:13">
      <c r="A1005" s="1">
        <f>HYPERLINK("https://lsnyc.legalserver.org/matter/dynamic-profile/view/1836194","17-1836194")</f>
        <v>0</v>
      </c>
      <c r="B1005" t="s">
        <v>13</v>
      </c>
      <c r="C1005" t="s">
        <v>558</v>
      </c>
      <c r="D1005" t="s">
        <v>833</v>
      </c>
      <c r="E1005" t="s">
        <v>1960</v>
      </c>
      <c r="F1005" t="s">
        <v>2091</v>
      </c>
      <c r="G1005">
        <v>11220</v>
      </c>
      <c r="K1005">
        <v>2</v>
      </c>
      <c r="L1005">
        <v>0</v>
      </c>
      <c r="M1005">
        <v>129.31</v>
      </c>
    </row>
    <row r="1006" spans="1:13">
      <c r="A1006" s="1">
        <f>HYPERLINK("https://lsnyc.legalserver.org/matter/dynamic-profile/view/1851547","17-1851547")</f>
        <v>0</v>
      </c>
      <c r="B1006" t="s">
        <v>13</v>
      </c>
      <c r="C1006" t="s">
        <v>540</v>
      </c>
      <c r="D1006" t="s">
        <v>1230</v>
      </c>
      <c r="E1006" t="s">
        <v>1915</v>
      </c>
      <c r="F1006" t="s">
        <v>2094</v>
      </c>
      <c r="G1006">
        <v>11432</v>
      </c>
      <c r="K1006">
        <v>2</v>
      </c>
      <c r="L1006">
        <v>0</v>
      </c>
      <c r="M1006">
        <v>129.31</v>
      </c>
    </row>
    <row r="1007" spans="1:13">
      <c r="A1007" s="1">
        <f>HYPERLINK("https://lsnyc.legalserver.org/matter/dynamic-profile/view/1853236","17-1853236")</f>
        <v>0</v>
      </c>
      <c r="B1007" t="s">
        <v>13</v>
      </c>
      <c r="C1007" t="s">
        <v>559</v>
      </c>
      <c r="D1007" t="s">
        <v>1276</v>
      </c>
      <c r="E1007" t="s">
        <v>1557</v>
      </c>
      <c r="F1007" t="s">
        <v>2091</v>
      </c>
      <c r="G1007">
        <v>11208</v>
      </c>
      <c r="K1007">
        <v>1</v>
      </c>
      <c r="L1007">
        <v>0</v>
      </c>
      <c r="M1007">
        <v>129.35</v>
      </c>
    </row>
    <row r="1008" spans="1:13">
      <c r="A1008" s="1">
        <f>HYPERLINK("https://lsnyc.legalserver.org/matter/dynamic-profile/view/1856212","18-1856212")</f>
        <v>0</v>
      </c>
      <c r="B1008" t="s">
        <v>13</v>
      </c>
      <c r="C1008" t="s">
        <v>191</v>
      </c>
      <c r="D1008" t="s">
        <v>1277</v>
      </c>
      <c r="E1008" t="s">
        <v>1961</v>
      </c>
      <c r="F1008" t="s">
        <v>2091</v>
      </c>
      <c r="G1008">
        <v>11203</v>
      </c>
      <c r="K1008">
        <v>1</v>
      </c>
      <c r="L1008">
        <v>0</v>
      </c>
      <c r="M1008">
        <v>129.35</v>
      </c>
    </row>
    <row r="1009" spans="1:13">
      <c r="A1009" s="1">
        <f>HYPERLINK("https://lsnyc.legalserver.org/matter/dynamic-profile/view/1856567","18-1856567")</f>
        <v>0</v>
      </c>
      <c r="B1009" t="s">
        <v>13</v>
      </c>
      <c r="C1009" t="s">
        <v>560</v>
      </c>
      <c r="D1009" t="s">
        <v>1161</v>
      </c>
      <c r="E1009" t="s">
        <v>1684</v>
      </c>
      <c r="F1009" t="s">
        <v>2089</v>
      </c>
      <c r="G1009">
        <v>10453</v>
      </c>
      <c r="K1009">
        <v>1</v>
      </c>
      <c r="L1009">
        <v>0</v>
      </c>
      <c r="M1009">
        <v>129.35</v>
      </c>
    </row>
    <row r="1010" spans="1:13">
      <c r="A1010" s="1">
        <f>HYPERLINK("https://lsnyc.legalserver.org/matter/dynamic-profile/view/1840826","17-1840826")</f>
        <v>0</v>
      </c>
      <c r="B1010" t="s">
        <v>13</v>
      </c>
      <c r="C1010" t="s">
        <v>109</v>
      </c>
      <c r="D1010" t="s">
        <v>810</v>
      </c>
      <c r="E1010" t="s">
        <v>1460</v>
      </c>
      <c r="F1010" t="s">
        <v>2089</v>
      </c>
      <c r="G1010">
        <v>10453</v>
      </c>
      <c r="K1010">
        <v>1</v>
      </c>
      <c r="L1010">
        <v>0</v>
      </c>
      <c r="M1010">
        <v>129.35</v>
      </c>
    </row>
    <row r="1011" spans="1:13">
      <c r="A1011" s="1">
        <f>HYPERLINK("https://lsnyc.legalserver.org/matter/dynamic-profile/view/1840476","17-1840476")</f>
        <v>0</v>
      </c>
      <c r="B1011" t="s">
        <v>13</v>
      </c>
      <c r="C1011" t="s">
        <v>561</v>
      </c>
      <c r="D1011" t="s">
        <v>1278</v>
      </c>
      <c r="E1011" t="s">
        <v>1460</v>
      </c>
      <c r="F1011" t="s">
        <v>2089</v>
      </c>
      <c r="G1011">
        <v>10453</v>
      </c>
      <c r="K1011">
        <v>1</v>
      </c>
      <c r="L1011">
        <v>0</v>
      </c>
      <c r="M1011">
        <v>129.35</v>
      </c>
    </row>
    <row r="1012" spans="1:13">
      <c r="A1012" s="1">
        <f>HYPERLINK("https://lsnyc.legalserver.org/matter/dynamic-profile/view/1859453","18-1859453")</f>
        <v>0</v>
      </c>
      <c r="B1012" t="s">
        <v>13</v>
      </c>
      <c r="C1012" t="s">
        <v>560</v>
      </c>
      <c r="D1012" t="s">
        <v>1161</v>
      </c>
      <c r="E1012" t="s">
        <v>1684</v>
      </c>
      <c r="F1012" t="s">
        <v>2089</v>
      </c>
      <c r="G1012">
        <v>10453</v>
      </c>
      <c r="K1012">
        <v>1</v>
      </c>
      <c r="L1012">
        <v>0</v>
      </c>
      <c r="M1012">
        <v>129.35</v>
      </c>
    </row>
    <row r="1013" spans="1:13">
      <c r="A1013" s="1">
        <f>HYPERLINK("https://lsnyc.legalserver.org/matter/dynamic-profile/view/1837044","17-1837044")</f>
        <v>0</v>
      </c>
      <c r="B1013" t="s">
        <v>13</v>
      </c>
      <c r="C1013" t="s">
        <v>562</v>
      </c>
      <c r="D1013" t="s">
        <v>1279</v>
      </c>
      <c r="E1013" t="s">
        <v>1510</v>
      </c>
      <c r="F1013" t="s">
        <v>2091</v>
      </c>
      <c r="G1013">
        <v>11207</v>
      </c>
      <c r="K1013">
        <v>1</v>
      </c>
      <c r="L1013">
        <v>0</v>
      </c>
      <c r="M1013">
        <v>129.35</v>
      </c>
    </row>
    <row r="1014" spans="1:13">
      <c r="A1014" s="1">
        <f>HYPERLINK("https://lsnyc.legalserver.org/matter/dynamic-profile/view/1833962","17-1833962")</f>
        <v>0</v>
      </c>
      <c r="B1014" t="s">
        <v>13</v>
      </c>
      <c r="C1014" t="s">
        <v>258</v>
      </c>
      <c r="D1014" t="s">
        <v>731</v>
      </c>
      <c r="E1014" t="s">
        <v>1560</v>
      </c>
      <c r="F1014" t="s">
        <v>2089</v>
      </c>
      <c r="G1014">
        <v>10453</v>
      </c>
      <c r="K1014">
        <v>1</v>
      </c>
      <c r="L1014">
        <v>0</v>
      </c>
      <c r="M1014">
        <v>129.35</v>
      </c>
    </row>
    <row r="1015" spans="1:13">
      <c r="A1015" s="1">
        <f>HYPERLINK("https://lsnyc.legalserver.org/matter/dynamic-profile/view/1846478","17-1846478")</f>
        <v>0</v>
      </c>
      <c r="B1015" t="s">
        <v>13</v>
      </c>
      <c r="C1015" t="s">
        <v>563</v>
      </c>
      <c r="D1015" t="s">
        <v>814</v>
      </c>
      <c r="E1015" t="s">
        <v>1467</v>
      </c>
      <c r="F1015" t="s">
        <v>2091</v>
      </c>
      <c r="G1015">
        <v>11207</v>
      </c>
      <c r="K1015">
        <v>1</v>
      </c>
      <c r="L1015">
        <v>0</v>
      </c>
      <c r="M1015">
        <v>129.35</v>
      </c>
    </row>
    <row r="1016" spans="1:13">
      <c r="A1016" s="1">
        <f>HYPERLINK("https://lsnyc.legalserver.org/matter/dynamic-profile/view/1846468","17-1846468")</f>
        <v>0</v>
      </c>
      <c r="B1016" t="s">
        <v>13</v>
      </c>
      <c r="C1016" t="s">
        <v>563</v>
      </c>
      <c r="D1016" t="s">
        <v>814</v>
      </c>
      <c r="E1016" t="s">
        <v>1467</v>
      </c>
      <c r="F1016" t="s">
        <v>2091</v>
      </c>
      <c r="G1016">
        <v>11207</v>
      </c>
      <c r="K1016">
        <v>1</v>
      </c>
      <c r="L1016">
        <v>0</v>
      </c>
      <c r="M1016">
        <v>129.35</v>
      </c>
    </row>
    <row r="1017" spans="1:13">
      <c r="A1017" s="1">
        <f>HYPERLINK("https://lsnyc.legalserver.org/matter/dynamic-profile/view/1869632","18-1869632")</f>
        <v>0</v>
      </c>
      <c r="B1017" t="s">
        <v>13</v>
      </c>
      <c r="C1017" t="s">
        <v>564</v>
      </c>
      <c r="D1017" t="s">
        <v>1280</v>
      </c>
      <c r="E1017" t="s">
        <v>1962</v>
      </c>
      <c r="F1017" t="s">
        <v>2089</v>
      </c>
      <c r="G1017">
        <v>10453</v>
      </c>
      <c r="K1017">
        <v>1</v>
      </c>
      <c r="L1017">
        <v>0</v>
      </c>
      <c r="M1017">
        <v>129.36</v>
      </c>
    </row>
    <row r="1018" spans="1:13">
      <c r="A1018" s="1">
        <f>HYPERLINK("https://lsnyc.legalserver.org/matter/dynamic-profile/view/1861643","18-1861643")</f>
        <v>0</v>
      </c>
      <c r="B1018" t="s">
        <v>13</v>
      </c>
      <c r="C1018" t="s">
        <v>53</v>
      </c>
      <c r="D1018" t="s">
        <v>1281</v>
      </c>
      <c r="E1018" t="s">
        <v>1963</v>
      </c>
      <c r="F1018" t="s">
        <v>2091</v>
      </c>
      <c r="G1018">
        <v>11226</v>
      </c>
      <c r="K1018">
        <v>1</v>
      </c>
      <c r="L1018">
        <v>0</v>
      </c>
      <c r="M1018">
        <v>129.36</v>
      </c>
    </row>
    <row r="1019" spans="1:13">
      <c r="A1019" s="1">
        <f>HYPERLINK("https://lsnyc.legalserver.org/matter/dynamic-profile/view/1861367","18-1861367")</f>
        <v>0</v>
      </c>
      <c r="B1019" t="s">
        <v>13</v>
      </c>
      <c r="C1019" t="s">
        <v>275</v>
      </c>
      <c r="D1019" t="s">
        <v>845</v>
      </c>
      <c r="E1019" t="s">
        <v>1464</v>
      </c>
      <c r="F1019" t="s">
        <v>2094</v>
      </c>
      <c r="G1019">
        <v>11432</v>
      </c>
      <c r="K1019">
        <v>2</v>
      </c>
      <c r="L1019">
        <v>0</v>
      </c>
      <c r="M1019">
        <v>129.7</v>
      </c>
    </row>
    <row r="1020" spans="1:13">
      <c r="A1020" s="1">
        <f>HYPERLINK("https://lsnyc.legalserver.org/matter/dynamic-profile/view/1861379","18-1861379")</f>
        <v>0</v>
      </c>
      <c r="B1020" t="s">
        <v>13</v>
      </c>
      <c r="C1020" t="s">
        <v>275</v>
      </c>
      <c r="D1020" t="s">
        <v>845</v>
      </c>
      <c r="E1020" t="s">
        <v>1464</v>
      </c>
      <c r="F1020" t="s">
        <v>2094</v>
      </c>
      <c r="G1020">
        <v>11432</v>
      </c>
      <c r="K1020">
        <v>2</v>
      </c>
      <c r="L1020">
        <v>0</v>
      </c>
      <c r="M1020">
        <v>129.7</v>
      </c>
    </row>
    <row r="1021" spans="1:13">
      <c r="A1021" s="1">
        <f>HYPERLINK("https://lsnyc.legalserver.org/matter/dynamic-profile/view/0799002","16-0799002")</f>
        <v>0</v>
      </c>
      <c r="B1021" t="s">
        <v>13</v>
      </c>
      <c r="C1021" t="s">
        <v>143</v>
      </c>
      <c r="D1021" t="s">
        <v>1282</v>
      </c>
      <c r="E1021" t="s">
        <v>1533</v>
      </c>
      <c r="F1021" t="s">
        <v>2089</v>
      </c>
      <c r="G1021">
        <v>10452</v>
      </c>
      <c r="K1021">
        <v>2</v>
      </c>
      <c r="L1021">
        <v>0</v>
      </c>
      <c r="M1021">
        <v>129.84</v>
      </c>
    </row>
    <row r="1022" spans="1:13">
      <c r="A1022" s="1">
        <f>HYPERLINK("https://lsnyc.legalserver.org/matter/dynamic-profile/view/0817133","16-0817133")</f>
        <v>0</v>
      </c>
      <c r="B1022" t="s">
        <v>13</v>
      </c>
      <c r="C1022" t="s">
        <v>143</v>
      </c>
      <c r="D1022" t="s">
        <v>1282</v>
      </c>
      <c r="E1022" t="s">
        <v>1533</v>
      </c>
      <c r="F1022" t="s">
        <v>2089</v>
      </c>
      <c r="G1022">
        <v>10452</v>
      </c>
      <c r="K1022">
        <v>2</v>
      </c>
      <c r="L1022">
        <v>0</v>
      </c>
      <c r="M1022">
        <v>129.84</v>
      </c>
    </row>
    <row r="1023" spans="1:13">
      <c r="A1023" s="1">
        <f>HYPERLINK("https://lsnyc.legalserver.org/matter/dynamic-profile/view/0822597","16-0822597")</f>
        <v>0</v>
      </c>
      <c r="B1023" t="s">
        <v>13</v>
      </c>
      <c r="C1023" t="s">
        <v>143</v>
      </c>
      <c r="D1023" t="s">
        <v>1282</v>
      </c>
      <c r="E1023" t="s">
        <v>1533</v>
      </c>
      <c r="F1023" t="s">
        <v>2089</v>
      </c>
      <c r="G1023">
        <v>10452</v>
      </c>
      <c r="K1023">
        <v>2</v>
      </c>
      <c r="L1023">
        <v>0</v>
      </c>
      <c r="M1023">
        <v>129.84</v>
      </c>
    </row>
    <row r="1024" spans="1:13">
      <c r="A1024" s="1">
        <f>HYPERLINK("https://lsnyc.legalserver.org/matter/dynamic-profile/view/1869966","18-1869966")</f>
        <v>0</v>
      </c>
      <c r="B1024" t="s">
        <v>13</v>
      </c>
      <c r="C1024" t="s">
        <v>183</v>
      </c>
      <c r="D1024" t="s">
        <v>1283</v>
      </c>
      <c r="E1024" t="s">
        <v>1644</v>
      </c>
      <c r="F1024" t="s">
        <v>2089</v>
      </c>
      <c r="G1024">
        <v>10453</v>
      </c>
      <c r="K1024">
        <v>2</v>
      </c>
      <c r="L1024">
        <v>0</v>
      </c>
      <c r="M1024">
        <v>130.13</v>
      </c>
    </row>
    <row r="1025" spans="1:13">
      <c r="A1025" s="1">
        <f>HYPERLINK("https://lsnyc.legalserver.org/matter/dynamic-profile/view/1845191","17-1845191")</f>
        <v>0</v>
      </c>
      <c r="B1025" t="s">
        <v>13</v>
      </c>
      <c r="C1025" t="s">
        <v>428</v>
      </c>
      <c r="D1025" t="s">
        <v>1284</v>
      </c>
      <c r="E1025" t="s">
        <v>1964</v>
      </c>
      <c r="F1025" t="s">
        <v>2093</v>
      </c>
      <c r="G1025">
        <v>10035</v>
      </c>
      <c r="K1025">
        <v>1</v>
      </c>
      <c r="L1025">
        <v>0</v>
      </c>
      <c r="M1025">
        <v>130.65</v>
      </c>
    </row>
    <row r="1026" spans="1:13">
      <c r="A1026" s="1">
        <f>HYPERLINK("https://lsnyc.legalserver.org/matter/dynamic-profile/view/1845254","17-1845254")</f>
        <v>0</v>
      </c>
      <c r="B1026" t="s">
        <v>13</v>
      </c>
      <c r="C1026" t="s">
        <v>565</v>
      </c>
      <c r="D1026" t="s">
        <v>1285</v>
      </c>
      <c r="E1026" t="s">
        <v>1965</v>
      </c>
      <c r="F1026" t="s">
        <v>2091</v>
      </c>
      <c r="G1026">
        <v>11236</v>
      </c>
      <c r="K1026">
        <v>1</v>
      </c>
      <c r="L1026">
        <v>0</v>
      </c>
      <c r="M1026">
        <v>130.8</v>
      </c>
    </row>
    <row r="1027" spans="1:13">
      <c r="A1027" s="1">
        <f>HYPERLINK("https://lsnyc.legalserver.org/matter/dynamic-profile/view/1860417","18-1860417")</f>
        <v>0</v>
      </c>
      <c r="B1027" t="s">
        <v>13</v>
      </c>
      <c r="C1027" t="s">
        <v>29</v>
      </c>
      <c r="D1027" t="s">
        <v>1286</v>
      </c>
      <c r="E1027" t="s">
        <v>1895</v>
      </c>
      <c r="F1027" t="s">
        <v>2093</v>
      </c>
      <c r="G1027">
        <v>10031</v>
      </c>
      <c r="K1027">
        <v>1</v>
      </c>
      <c r="L1027">
        <v>0</v>
      </c>
      <c r="M1027">
        <v>130.88</v>
      </c>
    </row>
    <row r="1028" spans="1:13">
      <c r="A1028" s="1">
        <f>HYPERLINK("https://lsnyc.legalserver.org/matter/dynamic-profile/view/0820818","16-0820818")</f>
        <v>0</v>
      </c>
      <c r="B1028" t="s">
        <v>13</v>
      </c>
      <c r="C1028" t="s">
        <v>566</v>
      </c>
      <c r="D1028" t="s">
        <v>1287</v>
      </c>
      <c r="E1028" t="s">
        <v>1966</v>
      </c>
      <c r="F1028" t="s">
        <v>2091</v>
      </c>
      <c r="G1028">
        <v>11207</v>
      </c>
      <c r="K1028">
        <v>1</v>
      </c>
      <c r="L1028">
        <v>0</v>
      </c>
      <c r="M1028">
        <v>131.31</v>
      </c>
    </row>
    <row r="1029" spans="1:13">
      <c r="A1029" s="1">
        <f>HYPERLINK("https://lsnyc.legalserver.org/matter/dynamic-profile/view/0819435","16-0819435")</f>
        <v>0</v>
      </c>
      <c r="B1029" t="s">
        <v>13</v>
      </c>
      <c r="C1029" t="s">
        <v>561</v>
      </c>
      <c r="D1029" t="s">
        <v>1278</v>
      </c>
      <c r="E1029" t="s">
        <v>1460</v>
      </c>
      <c r="F1029" t="s">
        <v>2089</v>
      </c>
      <c r="G1029">
        <v>10453</v>
      </c>
      <c r="K1029">
        <v>1</v>
      </c>
      <c r="L1029">
        <v>0</v>
      </c>
      <c r="M1029">
        <v>131.31</v>
      </c>
    </row>
    <row r="1030" spans="1:13">
      <c r="A1030" s="1">
        <f>HYPERLINK("https://lsnyc.legalserver.org/matter/dynamic-profile/view/0822571","16-0822571")</f>
        <v>0</v>
      </c>
      <c r="B1030" t="s">
        <v>13</v>
      </c>
      <c r="C1030" t="s">
        <v>566</v>
      </c>
      <c r="D1030" t="s">
        <v>1287</v>
      </c>
      <c r="E1030" t="s">
        <v>1966</v>
      </c>
      <c r="F1030" t="s">
        <v>2091</v>
      </c>
      <c r="G1030">
        <v>11207</v>
      </c>
      <c r="K1030">
        <v>1</v>
      </c>
      <c r="L1030">
        <v>0</v>
      </c>
      <c r="M1030">
        <v>131.31</v>
      </c>
    </row>
    <row r="1031" spans="1:13">
      <c r="A1031" s="1">
        <f>HYPERLINK("https://lsnyc.legalserver.org/matter/dynamic-profile/view/0816887","16-0816887")</f>
        <v>0</v>
      </c>
      <c r="B1031" t="s">
        <v>13</v>
      </c>
      <c r="C1031" t="s">
        <v>109</v>
      </c>
      <c r="D1031" t="s">
        <v>810</v>
      </c>
      <c r="E1031" t="s">
        <v>1460</v>
      </c>
      <c r="F1031" t="s">
        <v>2089</v>
      </c>
      <c r="G1031">
        <v>10453</v>
      </c>
      <c r="K1031">
        <v>1</v>
      </c>
      <c r="L1031">
        <v>0</v>
      </c>
      <c r="M1031">
        <v>131.31</v>
      </c>
    </row>
    <row r="1032" spans="1:13">
      <c r="A1032" s="1">
        <f>HYPERLINK("https://lsnyc.legalserver.org/matter/dynamic-profile/view/0819407","16-0819407")</f>
        <v>0</v>
      </c>
      <c r="B1032" t="s">
        <v>13</v>
      </c>
      <c r="C1032" t="s">
        <v>561</v>
      </c>
      <c r="D1032" t="s">
        <v>1278</v>
      </c>
      <c r="E1032" t="s">
        <v>1460</v>
      </c>
      <c r="F1032" t="s">
        <v>2089</v>
      </c>
      <c r="G1032">
        <v>10453</v>
      </c>
      <c r="K1032">
        <v>1</v>
      </c>
      <c r="L1032">
        <v>0</v>
      </c>
      <c r="M1032">
        <v>131.31</v>
      </c>
    </row>
    <row r="1033" spans="1:13">
      <c r="A1033" s="1">
        <f>HYPERLINK("https://lsnyc.legalserver.org/matter/dynamic-profile/view/1867742","18-1867742")</f>
        <v>0</v>
      </c>
      <c r="B1033" t="s">
        <v>13</v>
      </c>
      <c r="C1033" t="s">
        <v>85</v>
      </c>
      <c r="D1033" t="s">
        <v>1243</v>
      </c>
      <c r="E1033" t="s">
        <v>1933</v>
      </c>
      <c r="F1033" t="s">
        <v>2094</v>
      </c>
      <c r="G1033">
        <v>11435</v>
      </c>
      <c r="K1033">
        <v>3</v>
      </c>
      <c r="L1033">
        <v>0</v>
      </c>
      <c r="M1033">
        <v>131.6</v>
      </c>
    </row>
    <row r="1034" spans="1:13">
      <c r="A1034" s="1">
        <f>HYPERLINK("https://lsnyc.legalserver.org/matter/dynamic-profile/view/0831849","17-0831849")</f>
        <v>0</v>
      </c>
      <c r="B1034" t="s">
        <v>13</v>
      </c>
      <c r="C1034" t="s">
        <v>567</v>
      </c>
      <c r="D1034" t="s">
        <v>1288</v>
      </c>
      <c r="E1034" t="s">
        <v>1729</v>
      </c>
      <c r="F1034" t="s">
        <v>2089</v>
      </c>
      <c r="G1034">
        <v>10453</v>
      </c>
      <c r="K1034">
        <v>3</v>
      </c>
      <c r="L1034">
        <v>0</v>
      </c>
      <c r="M1034">
        <v>131.66</v>
      </c>
    </row>
    <row r="1035" spans="1:13">
      <c r="A1035" s="1">
        <f>HYPERLINK("https://lsnyc.legalserver.org/matter/dynamic-profile/view/0816812","16-0816812")</f>
        <v>0</v>
      </c>
      <c r="B1035" t="s">
        <v>13</v>
      </c>
      <c r="C1035" t="s">
        <v>568</v>
      </c>
      <c r="D1035" t="s">
        <v>1289</v>
      </c>
      <c r="E1035" t="s">
        <v>1469</v>
      </c>
      <c r="F1035" t="s">
        <v>2089</v>
      </c>
      <c r="G1035">
        <v>10457</v>
      </c>
      <c r="K1035">
        <v>1</v>
      </c>
      <c r="L1035">
        <v>0</v>
      </c>
      <c r="M1035">
        <v>131.75</v>
      </c>
    </row>
    <row r="1036" spans="1:13">
      <c r="A1036" s="1">
        <f>HYPERLINK("https://lsnyc.legalserver.org/matter/dynamic-profile/view/0789143","15-0789143")</f>
        <v>0</v>
      </c>
      <c r="B1036" t="s">
        <v>13</v>
      </c>
      <c r="C1036" t="s">
        <v>503</v>
      </c>
      <c r="D1036" t="s">
        <v>1230</v>
      </c>
      <c r="E1036" t="s">
        <v>1915</v>
      </c>
      <c r="F1036" t="s">
        <v>2094</v>
      </c>
      <c r="G1036">
        <v>11432</v>
      </c>
      <c r="K1036">
        <v>2</v>
      </c>
      <c r="L1036">
        <v>0</v>
      </c>
      <c r="M1036">
        <v>131.83</v>
      </c>
    </row>
    <row r="1037" spans="1:13">
      <c r="A1037" s="1">
        <f>HYPERLINK("https://lsnyc.legalserver.org/matter/dynamic-profile/view/1863853","18-1863853")</f>
        <v>0</v>
      </c>
      <c r="B1037" t="s">
        <v>13</v>
      </c>
      <c r="C1037" t="s">
        <v>438</v>
      </c>
      <c r="D1037" t="s">
        <v>736</v>
      </c>
      <c r="E1037" t="s">
        <v>1512</v>
      </c>
      <c r="F1037" t="s">
        <v>2093</v>
      </c>
      <c r="G1037">
        <v>10029</v>
      </c>
      <c r="K1037">
        <v>1</v>
      </c>
      <c r="L1037">
        <v>0</v>
      </c>
      <c r="M1037">
        <v>131.93</v>
      </c>
    </row>
    <row r="1038" spans="1:13">
      <c r="A1038" s="1">
        <f>HYPERLINK("https://lsnyc.legalserver.org/matter/dynamic-profile/view/1843611","17-1843611")</f>
        <v>0</v>
      </c>
      <c r="B1038" t="s">
        <v>13</v>
      </c>
      <c r="C1038" t="s">
        <v>569</v>
      </c>
      <c r="D1038" t="s">
        <v>745</v>
      </c>
      <c r="E1038" t="s">
        <v>1967</v>
      </c>
      <c r="F1038" t="s">
        <v>2089</v>
      </c>
      <c r="G1038">
        <v>10451</v>
      </c>
      <c r="K1038">
        <v>1</v>
      </c>
      <c r="L1038">
        <v>0</v>
      </c>
      <c r="M1038">
        <v>132.44</v>
      </c>
    </row>
    <row r="1039" spans="1:13">
      <c r="A1039" s="1">
        <f>HYPERLINK("https://lsnyc.legalserver.org/matter/dynamic-profile/view/0795237","15-0795237")</f>
        <v>0</v>
      </c>
      <c r="B1039" t="s">
        <v>13</v>
      </c>
      <c r="C1039" t="s">
        <v>570</v>
      </c>
      <c r="D1039" t="s">
        <v>1290</v>
      </c>
      <c r="E1039" t="s">
        <v>1462</v>
      </c>
      <c r="F1039" t="s">
        <v>2092</v>
      </c>
      <c r="G1039">
        <v>11354</v>
      </c>
      <c r="K1039">
        <v>1</v>
      </c>
      <c r="L1039">
        <v>0</v>
      </c>
      <c r="M1039">
        <v>132.54</v>
      </c>
    </row>
    <row r="1040" spans="1:13">
      <c r="A1040" s="1">
        <f>HYPERLINK("https://lsnyc.legalserver.org/matter/dynamic-profile/view/0780213","15-0780213")</f>
        <v>0</v>
      </c>
      <c r="B1040" t="s">
        <v>13</v>
      </c>
      <c r="C1040" t="s">
        <v>571</v>
      </c>
      <c r="D1040" t="s">
        <v>1291</v>
      </c>
      <c r="E1040" t="s">
        <v>1968</v>
      </c>
      <c r="F1040" t="s">
        <v>2091</v>
      </c>
      <c r="G1040">
        <v>11215</v>
      </c>
      <c r="K1040">
        <v>1</v>
      </c>
      <c r="L1040">
        <v>0</v>
      </c>
      <c r="M1040">
        <v>132.54</v>
      </c>
    </row>
    <row r="1041" spans="1:13">
      <c r="A1041" s="1">
        <f>HYPERLINK("https://lsnyc.legalserver.org/matter/dynamic-profile/view/0793991","15-0793991")</f>
        <v>0</v>
      </c>
      <c r="B1041" t="s">
        <v>13</v>
      </c>
      <c r="C1041" t="s">
        <v>258</v>
      </c>
      <c r="D1041" t="s">
        <v>731</v>
      </c>
      <c r="E1041" t="s">
        <v>1560</v>
      </c>
      <c r="F1041" t="s">
        <v>2089</v>
      </c>
      <c r="G1041">
        <v>10453</v>
      </c>
      <c r="K1041">
        <v>1</v>
      </c>
      <c r="L1041">
        <v>0</v>
      </c>
      <c r="M1041">
        <v>132.54</v>
      </c>
    </row>
    <row r="1042" spans="1:13">
      <c r="A1042" s="1">
        <f>HYPERLINK("https://lsnyc.legalserver.org/matter/dynamic-profile/view/1840246","17-1840246")</f>
        <v>0</v>
      </c>
      <c r="B1042" t="s">
        <v>13</v>
      </c>
      <c r="C1042" t="s">
        <v>572</v>
      </c>
      <c r="D1042" t="s">
        <v>1292</v>
      </c>
      <c r="E1042" t="s">
        <v>1666</v>
      </c>
      <c r="F1042" t="s">
        <v>2093</v>
      </c>
      <c r="G1042">
        <v>10040</v>
      </c>
      <c r="K1042">
        <v>1</v>
      </c>
      <c r="L1042">
        <v>0</v>
      </c>
      <c r="M1042">
        <v>132.64</v>
      </c>
    </row>
    <row r="1043" spans="1:13">
      <c r="A1043" s="1">
        <f>HYPERLINK("https://lsnyc.legalserver.org/matter/dynamic-profile/view/1856852","18-1856852")</f>
        <v>0</v>
      </c>
      <c r="B1043" t="s">
        <v>13</v>
      </c>
      <c r="C1043" t="s">
        <v>572</v>
      </c>
      <c r="D1043" t="s">
        <v>1292</v>
      </c>
      <c r="E1043" t="s">
        <v>1666</v>
      </c>
      <c r="F1043" t="s">
        <v>2093</v>
      </c>
      <c r="G1043">
        <v>10040</v>
      </c>
      <c r="K1043">
        <v>1</v>
      </c>
      <c r="L1043">
        <v>0</v>
      </c>
      <c r="M1043">
        <v>132.64</v>
      </c>
    </row>
    <row r="1044" spans="1:13">
      <c r="A1044" s="1">
        <f>HYPERLINK("https://lsnyc.legalserver.org/matter/dynamic-profile/view/1856576","18-1856576")</f>
        <v>0</v>
      </c>
      <c r="B1044" t="s">
        <v>13</v>
      </c>
      <c r="C1044" t="s">
        <v>573</v>
      </c>
      <c r="D1044" t="s">
        <v>941</v>
      </c>
      <c r="E1044" t="s">
        <v>1969</v>
      </c>
      <c r="F1044" t="s">
        <v>2114</v>
      </c>
      <c r="G1044">
        <v>11365</v>
      </c>
      <c r="K1044">
        <v>2</v>
      </c>
      <c r="L1044">
        <v>0</v>
      </c>
      <c r="M1044">
        <v>132.64</v>
      </c>
    </row>
    <row r="1045" spans="1:13">
      <c r="A1045" s="1">
        <f>HYPERLINK("https://lsnyc.legalserver.org/matter/dynamic-profile/view/1840240","17-1840240")</f>
        <v>0</v>
      </c>
      <c r="B1045" t="s">
        <v>13</v>
      </c>
      <c r="C1045" t="s">
        <v>572</v>
      </c>
      <c r="D1045" t="s">
        <v>1292</v>
      </c>
      <c r="E1045" t="s">
        <v>1666</v>
      </c>
      <c r="F1045" t="s">
        <v>2093</v>
      </c>
      <c r="G1045">
        <v>10040</v>
      </c>
      <c r="K1045">
        <v>1</v>
      </c>
      <c r="L1045">
        <v>0</v>
      </c>
      <c r="M1045">
        <v>132.64</v>
      </c>
    </row>
    <row r="1046" spans="1:13">
      <c r="A1046" s="1">
        <f>HYPERLINK("https://lsnyc.legalserver.org/matter/dynamic-profile/view/0831529","17-0831529")</f>
        <v>0</v>
      </c>
      <c r="B1046" t="s">
        <v>13</v>
      </c>
      <c r="C1046" t="s">
        <v>546</v>
      </c>
      <c r="D1046" t="s">
        <v>1265</v>
      </c>
      <c r="E1046" t="s">
        <v>1824</v>
      </c>
      <c r="F1046" t="s">
        <v>2093</v>
      </c>
      <c r="G1046">
        <v>10034</v>
      </c>
      <c r="K1046">
        <v>1</v>
      </c>
      <c r="L1046">
        <v>0</v>
      </c>
      <c r="M1046">
        <v>132.93</v>
      </c>
    </row>
    <row r="1047" spans="1:13">
      <c r="A1047" s="1">
        <f>HYPERLINK("https://lsnyc.legalserver.org/matter/dynamic-profile/view/0796572","16-0796572")</f>
        <v>0</v>
      </c>
      <c r="B1047" t="s">
        <v>13</v>
      </c>
      <c r="C1047" t="s">
        <v>568</v>
      </c>
      <c r="D1047" t="s">
        <v>1289</v>
      </c>
      <c r="E1047" t="s">
        <v>1469</v>
      </c>
      <c r="F1047" t="s">
        <v>2089</v>
      </c>
      <c r="G1047">
        <v>10457</v>
      </c>
      <c r="K1047">
        <v>1</v>
      </c>
      <c r="L1047">
        <v>0</v>
      </c>
      <c r="M1047">
        <v>132.98</v>
      </c>
    </row>
    <row r="1048" spans="1:13">
      <c r="A1048" s="1">
        <f>HYPERLINK("https://lsnyc.legalserver.org/matter/dynamic-profile/view/1870396","18-1870396")</f>
        <v>0</v>
      </c>
      <c r="B1048" t="s">
        <v>13</v>
      </c>
      <c r="C1048" t="s">
        <v>574</v>
      </c>
      <c r="D1048" t="s">
        <v>1293</v>
      </c>
      <c r="E1048" t="s">
        <v>1970</v>
      </c>
      <c r="F1048" t="s">
        <v>2101</v>
      </c>
      <c r="G1048">
        <v>11372</v>
      </c>
      <c r="K1048">
        <v>3</v>
      </c>
      <c r="L1048">
        <v>0</v>
      </c>
      <c r="M1048">
        <v>133.19</v>
      </c>
    </row>
    <row r="1049" spans="1:13">
      <c r="A1049" s="1">
        <f>HYPERLINK("https://lsnyc.legalserver.org/matter/dynamic-profile/view/1863909","18-1863909")</f>
        <v>0</v>
      </c>
      <c r="B1049" t="s">
        <v>13</v>
      </c>
      <c r="C1049" t="s">
        <v>451</v>
      </c>
      <c r="D1049" t="s">
        <v>911</v>
      </c>
      <c r="E1049" t="s">
        <v>1512</v>
      </c>
      <c r="F1049" t="s">
        <v>2093</v>
      </c>
      <c r="G1049">
        <v>10029</v>
      </c>
      <c r="K1049">
        <v>2</v>
      </c>
      <c r="L1049">
        <v>0</v>
      </c>
      <c r="M1049">
        <v>134</v>
      </c>
    </row>
    <row r="1050" spans="1:13">
      <c r="A1050" s="1">
        <f>HYPERLINK("https://lsnyc.legalserver.org/matter/dynamic-profile/view/1867388","18-1867388")</f>
        <v>0</v>
      </c>
      <c r="B1050" t="s">
        <v>13</v>
      </c>
      <c r="C1050" t="s">
        <v>81</v>
      </c>
      <c r="D1050" t="s">
        <v>1294</v>
      </c>
      <c r="E1050" t="s">
        <v>1971</v>
      </c>
      <c r="F1050" t="s">
        <v>2095</v>
      </c>
      <c r="G1050">
        <v>11691</v>
      </c>
      <c r="K1050">
        <v>1</v>
      </c>
      <c r="L1050">
        <v>0</v>
      </c>
      <c r="M1050">
        <v>134.07</v>
      </c>
    </row>
    <row r="1051" spans="1:13">
      <c r="A1051" s="1">
        <f>HYPERLINK("https://lsnyc.legalserver.org/matter/dynamic-profile/view/1857389","18-1857389")</f>
        <v>0</v>
      </c>
      <c r="B1051" t="s">
        <v>13</v>
      </c>
      <c r="C1051" t="s">
        <v>575</v>
      </c>
      <c r="D1051" t="s">
        <v>1295</v>
      </c>
      <c r="E1051" t="s">
        <v>1470</v>
      </c>
      <c r="F1051" t="s">
        <v>2089</v>
      </c>
      <c r="G1051">
        <v>10452</v>
      </c>
      <c r="K1051">
        <v>2</v>
      </c>
      <c r="L1051">
        <v>0</v>
      </c>
      <c r="M1051">
        <v>134.24</v>
      </c>
    </row>
    <row r="1052" spans="1:13">
      <c r="A1052" s="1">
        <f>HYPERLINK("https://lsnyc.legalserver.org/matter/dynamic-profile/view/1869858","18-1869858")</f>
        <v>0</v>
      </c>
      <c r="B1052" t="s">
        <v>13</v>
      </c>
      <c r="C1052" t="s">
        <v>576</v>
      </c>
      <c r="D1052" t="s">
        <v>747</v>
      </c>
      <c r="E1052" t="s">
        <v>1972</v>
      </c>
      <c r="F1052" t="s">
        <v>2093</v>
      </c>
      <c r="G1052">
        <v>10034</v>
      </c>
      <c r="K1052">
        <v>2</v>
      </c>
      <c r="L1052">
        <v>0</v>
      </c>
      <c r="M1052">
        <v>134.26</v>
      </c>
    </row>
    <row r="1053" spans="1:13">
      <c r="A1053" s="1">
        <f>HYPERLINK("https://lsnyc.legalserver.org/matter/dynamic-profile/view/1864440","18-1864440")</f>
        <v>0</v>
      </c>
      <c r="B1053" t="s">
        <v>13</v>
      </c>
      <c r="C1053" t="s">
        <v>456</v>
      </c>
      <c r="D1053" t="s">
        <v>1201</v>
      </c>
      <c r="E1053" t="s">
        <v>1512</v>
      </c>
      <c r="F1053" t="s">
        <v>2093</v>
      </c>
      <c r="G1053">
        <v>10029</v>
      </c>
      <c r="K1053">
        <v>2</v>
      </c>
      <c r="L1053">
        <v>0</v>
      </c>
      <c r="M1053">
        <v>134.26</v>
      </c>
    </row>
    <row r="1054" spans="1:13">
      <c r="A1054" s="1">
        <f>HYPERLINK("https://lsnyc.legalserver.org/matter/dynamic-profile/view/1853679","17-1853679")</f>
        <v>0</v>
      </c>
      <c r="B1054" t="s">
        <v>13</v>
      </c>
      <c r="C1054" t="s">
        <v>577</v>
      </c>
      <c r="D1054" t="s">
        <v>915</v>
      </c>
      <c r="E1054" t="s">
        <v>1861</v>
      </c>
      <c r="F1054" t="s">
        <v>2089</v>
      </c>
      <c r="G1054">
        <v>10452</v>
      </c>
      <c r="K1054">
        <v>2</v>
      </c>
      <c r="L1054">
        <v>0</v>
      </c>
      <c r="M1054">
        <v>134.48</v>
      </c>
    </row>
    <row r="1055" spans="1:13">
      <c r="A1055" s="1">
        <f>HYPERLINK("https://lsnyc.legalserver.org/matter/dynamic-profile/view/0799601","16-0799601")</f>
        <v>0</v>
      </c>
      <c r="B1055" t="s">
        <v>13</v>
      </c>
      <c r="C1055" t="s">
        <v>134</v>
      </c>
      <c r="D1055" t="s">
        <v>906</v>
      </c>
      <c r="E1055" t="s">
        <v>1449</v>
      </c>
      <c r="F1055" t="s">
        <v>2089</v>
      </c>
      <c r="G1055">
        <v>10451</v>
      </c>
      <c r="K1055">
        <v>1</v>
      </c>
      <c r="L1055">
        <v>0</v>
      </c>
      <c r="M1055">
        <v>134.68</v>
      </c>
    </row>
    <row r="1056" spans="1:13">
      <c r="A1056" s="1">
        <f>HYPERLINK("https://lsnyc.legalserver.org/matter/dynamic-profile/view/0804515","16-0804515")</f>
        <v>0</v>
      </c>
      <c r="B1056" t="s">
        <v>13</v>
      </c>
      <c r="C1056" t="s">
        <v>578</v>
      </c>
      <c r="D1056" t="s">
        <v>1101</v>
      </c>
      <c r="E1056" t="s">
        <v>1973</v>
      </c>
      <c r="F1056" t="s">
        <v>2094</v>
      </c>
      <c r="G1056">
        <v>11434</v>
      </c>
      <c r="K1056">
        <v>1</v>
      </c>
      <c r="L1056">
        <v>0</v>
      </c>
      <c r="M1056">
        <v>134.68</v>
      </c>
    </row>
    <row r="1057" spans="1:13">
      <c r="A1057" s="1">
        <f>HYPERLINK("https://lsnyc.legalserver.org/matter/dynamic-profile/view/1865077","18-1865077")</f>
        <v>0</v>
      </c>
      <c r="B1057" t="s">
        <v>13</v>
      </c>
      <c r="C1057" t="s">
        <v>579</v>
      </c>
      <c r="D1057" t="s">
        <v>1296</v>
      </c>
      <c r="E1057" t="s">
        <v>1974</v>
      </c>
      <c r="F1057" t="s">
        <v>2089</v>
      </c>
      <c r="G1057">
        <v>10468</v>
      </c>
      <c r="K1057">
        <v>1</v>
      </c>
      <c r="L1057">
        <v>0</v>
      </c>
      <c r="M1057">
        <v>134.73</v>
      </c>
    </row>
    <row r="1058" spans="1:13">
      <c r="A1058" s="1">
        <f>HYPERLINK("https://lsnyc.legalserver.org/matter/dynamic-profile/view/1840979","17-1840979")</f>
        <v>0</v>
      </c>
      <c r="B1058" t="s">
        <v>13</v>
      </c>
      <c r="C1058" t="s">
        <v>580</v>
      </c>
      <c r="D1058" t="s">
        <v>761</v>
      </c>
      <c r="E1058" t="s">
        <v>1975</v>
      </c>
      <c r="F1058" t="s">
        <v>2093</v>
      </c>
      <c r="G1058">
        <v>10034</v>
      </c>
      <c r="K1058">
        <v>2</v>
      </c>
      <c r="L1058">
        <v>0</v>
      </c>
      <c r="M1058">
        <v>135.47</v>
      </c>
    </row>
    <row r="1059" spans="1:13">
      <c r="A1059" s="1">
        <f>HYPERLINK("https://lsnyc.legalserver.org/matter/dynamic-profile/view/1835656","17-1835656")</f>
        <v>0</v>
      </c>
      <c r="B1059" t="s">
        <v>13</v>
      </c>
      <c r="C1059" t="s">
        <v>500</v>
      </c>
      <c r="D1059" t="s">
        <v>747</v>
      </c>
      <c r="E1059" t="s">
        <v>1913</v>
      </c>
      <c r="F1059" t="s">
        <v>2093</v>
      </c>
      <c r="G1059">
        <v>10034</v>
      </c>
      <c r="K1059">
        <v>3</v>
      </c>
      <c r="L1059">
        <v>0</v>
      </c>
      <c r="M1059">
        <v>135.51</v>
      </c>
    </row>
    <row r="1060" spans="1:13">
      <c r="A1060" s="1">
        <f>HYPERLINK("https://lsnyc.legalserver.org/matter/dynamic-profile/view/1846030","17-1846030")</f>
        <v>0</v>
      </c>
      <c r="B1060" t="s">
        <v>13</v>
      </c>
      <c r="C1060" t="s">
        <v>581</v>
      </c>
      <c r="D1060" t="s">
        <v>1297</v>
      </c>
      <c r="E1060" t="s">
        <v>1976</v>
      </c>
      <c r="F1060" t="s">
        <v>2093</v>
      </c>
      <c r="G1060">
        <v>10034</v>
      </c>
      <c r="K1060">
        <v>2</v>
      </c>
      <c r="L1060">
        <v>0</v>
      </c>
      <c r="M1060">
        <v>135.59</v>
      </c>
    </row>
    <row r="1061" spans="1:13">
      <c r="A1061" s="1">
        <f>HYPERLINK("https://lsnyc.legalserver.org/matter/dynamic-profile/view/0787860","15-0787860")</f>
        <v>0</v>
      </c>
      <c r="B1061" t="s">
        <v>13</v>
      </c>
      <c r="C1061" t="s">
        <v>582</v>
      </c>
      <c r="D1061" t="s">
        <v>1298</v>
      </c>
      <c r="E1061" t="s">
        <v>1977</v>
      </c>
      <c r="F1061" t="s">
        <v>2093</v>
      </c>
      <c r="G1061">
        <v>10029</v>
      </c>
      <c r="K1061">
        <v>1</v>
      </c>
      <c r="L1061">
        <v>0</v>
      </c>
      <c r="M1061">
        <v>135.94</v>
      </c>
    </row>
    <row r="1062" spans="1:13">
      <c r="A1062" s="1">
        <f>HYPERLINK("https://lsnyc.legalserver.org/matter/dynamic-profile/view/1868979","18-1868979")</f>
        <v>0</v>
      </c>
      <c r="B1062" t="s">
        <v>13</v>
      </c>
      <c r="C1062" t="s">
        <v>583</v>
      </c>
      <c r="D1062" t="s">
        <v>1299</v>
      </c>
      <c r="E1062" t="s">
        <v>1978</v>
      </c>
      <c r="F1062" t="s">
        <v>2089</v>
      </c>
      <c r="G1062">
        <v>10453</v>
      </c>
      <c r="K1062">
        <v>2</v>
      </c>
      <c r="L1062">
        <v>0</v>
      </c>
      <c r="M1062">
        <v>136.04</v>
      </c>
    </row>
    <row r="1063" spans="1:13">
      <c r="A1063" s="1">
        <f>HYPERLINK("https://lsnyc.legalserver.org/matter/dynamic-profile/view/0823541","16-0823541")</f>
        <v>0</v>
      </c>
      <c r="B1063" t="s">
        <v>13</v>
      </c>
      <c r="C1063" t="s">
        <v>575</v>
      </c>
      <c r="D1063" t="s">
        <v>1295</v>
      </c>
      <c r="E1063" t="s">
        <v>1470</v>
      </c>
      <c r="F1063" t="s">
        <v>2089</v>
      </c>
      <c r="G1063">
        <v>10452</v>
      </c>
      <c r="K1063">
        <v>2</v>
      </c>
      <c r="L1063">
        <v>0</v>
      </c>
      <c r="M1063">
        <v>136.08</v>
      </c>
    </row>
    <row r="1064" spans="1:13">
      <c r="A1064" s="1">
        <f>HYPERLINK("https://lsnyc.legalserver.org/matter/dynamic-profile/view/1869875","18-1869875")</f>
        <v>0</v>
      </c>
      <c r="B1064" t="s">
        <v>13</v>
      </c>
      <c r="C1064" t="s">
        <v>584</v>
      </c>
      <c r="D1064" t="s">
        <v>1300</v>
      </c>
      <c r="E1064" t="s">
        <v>1979</v>
      </c>
      <c r="F1064" t="s">
        <v>2095</v>
      </c>
      <c r="G1064">
        <v>11691</v>
      </c>
      <c r="K1064">
        <v>1</v>
      </c>
      <c r="L1064">
        <v>0</v>
      </c>
      <c r="M1064">
        <v>136.31</v>
      </c>
    </row>
    <row r="1065" spans="1:13">
      <c r="A1065" s="1">
        <f>HYPERLINK("https://lsnyc.legalserver.org/matter/dynamic-profile/view/1898820","19-1898820")</f>
        <v>0</v>
      </c>
      <c r="B1065" t="s">
        <v>13</v>
      </c>
      <c r="C1065" t="s">
        <v>585</v>
      </c>
      <c r="D1065" t="s">
        <v>1301</v>
      </c>
      <c r="E1065" t="s">
        <v>1980</v>
      </c>
      <c r="F1065" t="s">
        <v>2091</v>
      </c>
      <c r="G1065">
        <v>11207</v>
      </c>
      <c r="K1065">
        <v>2</v>
      </c>
      <c r="L1065">
        <v>0</v>
      </c>
      <c r="M1065">
        <v>136.44</v>
      </c>
    </row>
    <row r="1066" spans="1:13">
      <c r="A1066" s="1">
        <f>HYPERLINK("https://lsnyc.legalserver.org/matter/dynamic-profile/view/0823982","17-0823982")</f>
        <v>0</v>
      </c>
      <c r="B1066" t="s">
        <v>13</v>
      </c>
      <c r="C1066" t="s">
        <v>586</v>
      </c>
      <c r="D1066" t="s">
        <v>901</v>
      </c>
      <c r="E1066" t="s">
        <v>1981</v>
      </c>
      <c r="F1066" t="s">
        <v>2093</v>
      </c>
      <c r="G1066">
        <v>10028</v>
      </c>
      <c r="K1066">
        <v>1</v>
      </c>
      <c r="L1066">
        <v>0</v>
      </c>
      <c r="M1066">
        <v>136.46</v>
      </c>
    </row>
    <row r="1067" spans="1:13">
      <c r="A1067" s="1">
        <f>HYPERLINK("https://lsnyc.legalserver.org/matter/dynamic-profile/view/1866450","18-1866450")</f>
        <v>0</v>
      </c>
      <c r="B1067" t="s">
        <v>13</v>
      </c>
      <c r="C1067" t="s">
        <v>587</v>
      </c>
      <c r="D1067" t="s">
        <v>1302</v>
      </c>
      <c r="E1067" t="s">
        <v>1583</v>
      </c>
      <c r="F1067" t="s">
        <v>2090</v>
      </c>
      <c r="G1067">
        <v>10304</v>
      </c>
      <c r="K1067">
        <v>1</v>
      </c>
      <c r="L1067">
        <v>0</v>
      </c>
      <c r="M1067">
        <v>137.07</v>
      </c>
    </row>
    <row r="1068" spans="1:13">
      <c r="A1068" s="1">
        <f>HYPERLINK("https://lsnyc.legalserver.org/matter/dynamic-profile/view/1870631","18-1870631")</f>
        <v>0</v>
      </c>
      <c r="B1068" t="s">
        <v>13</v>
      </c>
      <c r="C1068" t="s">
        <v>155</v>
      </c>
      <c r="D1068" t="s">
        <v>1303</v>
      </c>
      <c r="E1068" t="s">
        <v>1982</v>
      </c>
      <c r="F1068" t="s">
        <v>2093</v>
      </c>
      <c r="G1068">
        <v>10035</v>
      </c>
      <c r="K1068">
        <v>2</v>
      </c>
      <c r="L1068">
        <v>0</v>
      </c>
      <c r="M1068">
        <v>137.18</v>
      </c>
    </row>
    <row r="1069" spans="1:13">
      <c r="A1069" s="1">
        <f>HYPERLINK("https://lsnyc.legalserver.org/matter/dynamic-profile/view/0820182","16-0820182")</f>
        <v>0</v>
      </c>
      <c r="B1069" t="s">
        <v>13</v>
      </c>
      <c r="C1069" t="s">
        <v>440</v>
      </c>
      <c r="D1069" t="s">
        <v>1304</v>
      </c>
      <c r="E1069" t="s">
        <v>1699</v>
      </c>
      <c r="F1069" t="s">
        <v>2093</v>
      </c>
      <c r="G1069">
        <v>10034</v>
      </c>
      <c r="K1069">
        <v>2</v>
      </c>
      <c r="L1069">
        <v>0</v>
      </c>
      <c r="M1069">
        <v>137.3</v>
      </c>
    </row>
    <row r="1070" spans="1:13">
      <c r="A1070" s="1">
        <f>HYPERLINK("https://lsnyc.legalserver.org/matter/dynamic-profile/view/1853894","17-1853894")</f>
        <v>0</v>
      </c>
      <c r="B1070" t="s">
        <v>13</v>
      </c>
      <c r="C1070" t="s">
        <v>117</v>
      </c>
      <c r="D1070" t="s">
        <v>745</v>
      </c>
      <c r="E1070" t="s">
        <v>1983</v>
      </c>
      <c r="F1070" t="s">
        <v>2089</v>
      </c>
      <c r="G1070">
        <v>10453</v>
      </c>
      <c r="K1070">
        <v>3</v>
      </c>
      <c r="L1070">
        <v>0</v>
      </c>
      <c r="M1070">
        <v>137.38</v>
      </c>
    </row>
    <row r="1071" spans="1:13">
      <c r="A1071" s="1">
        <f>HYPERLINK("https://lsnyc.legalserver.org/matter/dynamic-profile/view/1837456","17-1837456")</f>
        <v>0</v>
      </c>
      <c r="B1071" t="s">
        <v>13</v>
      </c>
      <c r="C1071" t="s">
        <v>588</v>
      </c>
      <c r="D1071" t="s">
        <v>1305</v>
      </c>
      <c r="E1071" t="s">
        <v>1529</v>
      </c>
      <c r="F1071" t="s">
        <v>2091</v>
      </c>
      <c r="G1071">
        <v>11213</v>
      </c>
      <c r="K1071">
        <v>2</v>
      </c>
      <c r="L1071">
        <v>0</v>
      </c>
      <c r="M1071">
        <v>137.68</v>
      </c>
    </row>
    <row r="1072" spans="1:13">
      <c r="A1072" s="1">
        <f>HYPERLINK("https://lsnyc.legalserver.org/matter/dynamic-profile/view/1849048","17-1849048")</f>
        <v>0</v>
      </c>
      <c r="B1072" t="s">
        <v>13</v>
      </c>
      <c r="C1072" t="s">
        <v>587</v>
      </c>
      <c r="D1072" t="s">
        <v>1302</v>
      </c>
      <c r="E1072" t="s">
        <v>1583</v>
      </c>
      <c r="F1072" t="s">
        <v>2090</v>
      </c>
      <c r="G1072">
        <v>10304</v>
      </c>
      <c r="K1072">
        <v>1</v>
      </c>
      <c r="L1072">
        <v>0</v>
      </c>
      <c r="M1072">
        <v>137.98</v>
      </c>
    </row>
    <row r="1073" spans="1:13">
      <c r="A1073" s="1">
        <f>HYPERLINK("https://lsnyc.legalserver.org/matter/dynamic-profile/view/1846884","17-1846884")</f>
        <v>0</v>
      </c>
      <c r="B1073" t="s">
        <v>13</v>
      </c>
      <c r="C1073" t="s">
        <v>39</v>
      </c>
      <c r="D1073" t="s">
        <v>1306</v>
      </c>
      <c r="E1073" t="s">
        <v>1984</v>
      </c>
      <c r="F1073" t="s">
        <v>2092</v>
      </c>
      <c r="G1073">
        <v>11355</v>
      </c>
      <c r="K1073">
        <v>2</v>
      </c>
      <c r="L1073">
        <v>0</v>
      </c>
      <c r="M1073">
        <v>138.55</v>
      </c>
    </row>
    <row r="1074" spans="1:13">
      <c r="A1074" s="1">
        <f>HYPERLINK("https://lsnyc.legalserver.org/matter/dynamic-profile/view/1861515","18-1861515")</f>
        <v>0</v>
      </c>
      <c r="B1074" t="s">
        <v>13</v>
      </c>
      <c r="C1074" t="s">
        <v>52</v>
      </c>
      <c r="D1074" t="s">
        <v>1307</v>
      </c>
      <c r="E1074" t="s">
        <v>1985</v>
      </c>
      <c r="F1074" t="s">
        <v>2093</v>
      </c>
      <c r="G1074">
        <v>10035</v>
      </c>
      <c r="K1074">
        <v>2</v>
      </c>
      <c r="L1074">
        <v>0</v>
      </c>
      <c r="M1074">
        <v>138.74</v>
      </c>
    </row>
    <row r="1075" spans="1:13">
      <c r="A1075" s="1">
        <f>HYPERLINK("https://lsnyc.legalserver.org/matter/dynamic-profile/view/1847161","17-1847161")</f>
        <v>0</v>
      </c>
      <c r="B1075" t="s">
        <v>13</v>
      </c>
      <c r="C1075" t="s">
        <v>405</v>
      </c>
      <c r="D1075" t="s">
        <v>735</v>
      </c>
      <c r="E1075" t="s">
        <v>1818</v>
      </c>
      <c r="F1075" t="s">
        <v>2093</v>
      </c>
      <c r="G1075">
        <v>10040</v>
      </c>
      <c r="K1075">
        <v>1</v>
      </c>
      <c r="L1075">
        <v>0</v>
      </c>
      <c r="M1075">
        <v>138.81</v>
      </c>
    </row>
    <row r="1076" spans="1:13">
      <c r="A1076" s="1">
        <f>HYPERLINK("https://lsnyc.legalserver.org/matter/dynamic-profile/view/0831337","17-0831337")</f>
        <v>0</v>
      </c>
      <c r="B1076" t="s">
        <v>13</v>
      </c>
      <c r="C1076" t="s">
        <v>405</v>
      </c>
      <c r="D1076" t="s">
        <v>735</v>
      </c>
      <c r="E1076" t="s">
        <v>1818</v>
      </c>
      <c r="F1076" t="s">
        <v>2093</v>
      </c>
      <c r="G1076">
        <v>10040</v>
      </c>
      <c r="K1076">
        <v>1</v>
      </c>
      <c r="L1076">
        <v>0</v>
      </c>
      <c r="M1076">
        <v>138.81</v>
      </c>
    </row>
    <row r="1077" spans="1:13">
      <c r="A1077" s="1">
        <f>HYPERLINK("https://lsnyc.legalserver.org/matter/dynamic-profile/view/1842886","17-1842886")</f>
        <v>0</v>
      </c>
      <c r="B1077" t="s">
        <v>13</v>
      </c>
      <c r="C1077" t="s">
        <v>589</v>
      </c>
      <c r="D1077" t="s">
        <v>1308</v>
      </c>
      <c r="E1077" t="s">
        <v>1472</v>
      </c>
      <c r="F1077" t="s">
        <v>2090</v>
      </c>
      <c r="G1077">
        <v>10314</v>
      </c>
      <c r="K1077">
        <v>1</v>
      </c>
      <c r="L1077">
        <v>0</v>
      </c>
      <c r="M1077">
        <v>139.3</v>
      </c>
    </row>
    <row r="1078" spans="1:13">
      <c r="A1078" s="1">
        <f>HYPERLINK("https://lsnyc.legalserver.org/matter/dynamic-profile/view/1840410","17-1840410")</f>
        <v>0</v>
      </c>
      <c r="B1078" t="s">
        <v>13</v>
      </c>
      <c r="C1078" t="s">
        <v>590</v>
      </c>
      <c r="D1078" t="s">
        <v>1309</v>
      </c>
      <c r="E1078" t="s">
        <v>1632</v>
      </c>
      <c r="F1078" t="s">
        <v>2093</v>
      </c>
      <c r="G1078">
        <v>10033</v>
      </c>
      <c r="K1078">
        <v>1</v>
      </c>
      <c r="L1078">
        <v>0</v>
      </c>
      <c r="M1078">
        <v>139.8</v>
      </c>
    </row>
    <row r="1079" spans="1:13">
      <c r="A1079" s="1">
        <f>HYPERLINK("https://lsnyc.legalserver.org/matter/dynamic-profile/view/1867444","18-1867444")</f>
        <v>0</v>
      </c>
      <c r="B1079" t="s">
        <v>13</v>
      </c>
      <c r="C1079" t="s">
        <v>591</v>
      </c>
      <c r="D1079" t="s">
        <v>1310</v>
      </c>
      <c r="E1079" t="s">
        <v>1609</v>
      </c>
      <c r="F1079" t="s">
        <v>2093</v>
      </c>
      <c r="G1079">
        <v>10034</v>
      </c>
      <c r="K1079">
        <v>1</v>
      </c>
      <c r="L1079">
        <v>0</v>
      </c>
      <c r="M1079">
        <v>140.03</v>
      </c>
    </row>
    <row r="1080" spans="1:13">
      <c r="A1080" s="1">
        <f>HYPERLINK("https://lsnyc.legalserver.org/matter/dynamic-profile/view/1868424","18-1868424")</f>
        <v>0</v>
      </c>
      <c r="B1080" t="s">
        <v>13</v>
      </c>
      <c r="C1080" t="s">
        <v>592</v>
      </c>
      <c r="D1080" t="s">
        <v>1311</v>
      </c>
      <c r="E1080" t="s">
        <v>1986</v>
      </c>
      <c r="F1080" t="s">
        <v>2090</v>
      </c>
      <c r="G1080">
        <v>10301</v>
      </c>
      <c r="K1080">
        <v>1</v>
      </c>
      <c r="L1080">
        <v>0</v>
      </c>
      <c r="M1080">
        <v>140.03</v>
      </c>
    </row>
    <row r="1081" spans="1:13">
      <c r="A1081" s="1">
        <f>HYPERLINK("https://lsnyc.legalserver.org/matter/dynamic-profile/view/1863816","18-1863816")</f>
        <v>0</v>
      </c>
      <c r="B1081" t="s">
        <v>13</v>
      </c>
      <c r="C1081" t="s">
        <v>314</v>
      </c>
      <c r="D1081" t="s">
        <v>1312</v>
      </c>
      <c r="E1081" t="s">
        <v>1623</v>
      </c>
      <c r="F1081" t="s">
        <v>2093</v>
      </c>
      <c r="G1081">
        <v>10033</v>
      </c>
      <c r="K1081">
        <v>1</v>
      </c>
      <c r="L1081">
        <v>0</v>
      </c>
      <c r="M1081">
        <v>140.03</v>
      </c>
    </row>
    <row r="1082" spans="1:13">
      <c r="A1082" s="1">
        <f>HYPERLINK("https://lsnyc.legalserver.org/matter/dynamic-profile/view/1881961","18-1881961")</f>
        <v>0</v>
      </c>
      <c r="B1082" t="s">
        <v>13</v>
      </c>
      <c r="C1082" t="s">
        <v>591</v>
      </c>
      <c r="D1082" t="s">
        <v>1310</v>
      </c>
      <c r="E1082" t="s">
        <v>1609</v>
      </c>
      <c r="F1082" t="s">
        <v>2093</v>
      </c>
      <c r="G1082">
        <v>10034</v>
      </c>
      <c r="K1082">
        <v>1</v>
      </c>
      <c r="L1082">
        <v>0</v>
      </c>
      <c r="M1082">
        <v>140.03</v>
      </c>
    </row>
    <row r="1083" spans="1:13">
      <c r="A1083" s="1">
        <f>HYPERLINK("https://lsnyc.legalserver.org/matter/dynamic-profile/view/1833956","17-1833956")</f>
        <v>0</v>
      </c>
      <c r="B1083" t="s">
        <v>13</v>
      </c>
      <c r="C1083" t="s">
        <v>234</v>
      </c>
      <c r="D1083" t="s">
        <v>761</v>
      </c>
      <c r="E1083" t="s">
        <v>1987</v>
      </c>
      <c r="F1083" t="s">
        <v>2089</v>
      </c>
      <c r="G1083">
        <v>10454</v>
      </c>
      <c r="K1083">
        <v>3</v>
      </c>
      <c r="L1083">
        <v>0</v>
      </c>
      <c r="M1083">
        <v>140.06</v>
      </c>
    </row>
    <row r="1084" spans="1:13">
      <c r="A1084" s="1">
        <f>HYPERLINK("https://lsnyc.legalserver.org/matter/dynamic-profile/view/1863990","18-1863990")</f>
        <v>0</v>
      </c>
      <c r="B1084" t="s">
        <v>13</v>
      </c>
      <c r="C1084" t="s">
        <v>39</v>
      </c>
      <c r="D1084" t="s">
        <v>1013</v>
      </c>
      <c r="E1084" t="s">
        <v>1512</v>
      </c>
      <c r="F1084" t="s">
        <v>2093</v>
      </c>
      <c r="G1084">
        <v>10029</v>
      </c>
      <c r="K1084">
        <v>2</v>
      </c>
      <c r="L1084">
        <v>0</v>
      </c>
      <c r="M1084">
        <v>140.1</v>
      </c>
    </row>
    <row r="1085" spans="1:13">
      <c r="A1085" s="1">
        <f>HYPERLINK("https://lsnyc.legalserver.org/matter/dynamic-profile/view/1854883","17-1854883")</f>
        <v>0</v>
      </c>
      <c r="B1085" t="s">
        <v>13</v>
      </c>
      <c r="C1085" t="s">
        <v>143</v>
      </c>
      <c r="D1085" t="s">
        <v>1282</v>
      </c>
      <c r="E1085" t="s">
        <v>1533</v>
      </c>
      <c r="F1085" t="s">
        <v>2089</v>
      </c>
      <c r="G1085">
        <v>10452</v>
      </c>
      <c r="K1085">
        <v>2</v>
      </c>
      <c r="L1085">
        <v>0</v>
      </c>
      <c r="M1085">
        <v>140.78</v>
      </c>
    </row>
    <row r="1086" spans="1:13">
      <c r="A1086" s="1">
        <f>HYPERLINK("https://lsnyc.legalserver.org/matter/dynamic-profile/view/1855239","18-1855239")</f>
        <v>0</v>
      </c>
      <c r="B1086" t="s">
        <v>13</v>
      </c>
      <c r="C1086" t="s">
        <v>143</v>
      </c>
      <c r="D1086" t="s">
        <v>1282</v>
      </c>
      <c r="E1086" t="s">
        <v>1533</v>
      </c>
      <c r="F1086" t="s">
        <v>2089</v>
      </c>
      <c r="G1086">
        <v>10452</v>
      </c>
      <c r="K1086">
        <v>2</v>
      </c>
      <c r="L1086">
        <v>0</v>
      </c>
      <c r="M1086">
        <v>140.78</v>
      </c>
    </row>
    <row r="1087" spans="1:13">
      <c r="A1087" s="1">
        <f>HYPERLINK("https://lsnyc.legalserver.org/matter/dynamic-profile/view/1837592","17-1837592")</f>
        <v>0</v>
      </c>
      <c r="B1087" t="s">
        <v>13</v>
      </c>
      <c r="C1087" t="s">
        <v>591</v>
      </c>
      <c r="D1087" t="s">
        <v>1310</v>
      </c>
      <c r="E1087" t="s">
        <v>1609</v>
      </c>
      <c r="F1087" t="s">
        <v>2093</v>
      </c>
      <c r="G1087">
        <v>10034</v>
      </c>
      <c r="K1087">
        <v>1</v>
      </c>
      <c r="L1087">
        <v>0</v>
      </c>
      <c r="M1087">
        <v>140.96</v>
      </c>
    </row>
    <row r="1088" spans="1:13">
      <c r="A1088" s="1">
        <f>HYPERLINK("https://lsnyc.legalserver.org/matter/dynamic-profile/view/1834662","17-1834662")</f>
        <v>0</v>
      </c>
      <c r="B1088" t="s">
        <v>13</v>
      </c>
      <c r="C1088" t="s">
        <v>314</v>
      </c>
      <c r="D1088" t="s">
        <v>1312</v>
      </c>
      <c r="E1088" t="s">
        <v>1623</v>
      </c>
      <c r="F1088" t="s">
        <v>2093</v>
      </c>
      <c r="G1088">
        <v>10033</v>
      </c>
      <c r="K1088">
        <v>1</v>
      </c>
      <c r="L1088">
        <v>0</v>
      </c>
      <c r="M1088">
        <v>140.96</v>
      </c>
    </row>
    <row r="1089" spans="1:13">
      <c r="A1089" s="1">
        <f>HYPERLINK("https://lsnyc.legalserver.org/matter/dynamic-profile/view/1834670","17-1834670")</f>
        <v>0</v>
      </c>
      <c r="B1089" t="s">
        <v>13</v>
      </c>
      <c r="C1089" t="s">
        <v>314</v>
      </c>
      <c r="D1089" t="s">
        <v>1312</v>
      </c>
      <c r="E1089" t="s">
        <v>1623</v>
      </c>
      <c r="F1089" t="s">
        <v>2093</v>
      </c>
      <c r="G1089">
        <v>10033</v>
      </c>
      <c r="K1089">
        <v>1</v>
      </c>
      <c r="L1089">
        <v>0</v>
      </c>
      <c r="M1089">
        <v>140.96</v>
      </c>
    </row>
    <row r="1090" spans="1:13">
      <c r="A1090" s="1">
        <f>HYPERLINK("https://lsnyc.legalserver.org/matter/dynamic-profile/view/1836028","17-1836028")</f>
        <v>0</v>
      </c>
      <c r="B1090" t="s">
        <v>13</v>
      </c>
      <c r="C1090" t="s">
        <v>52</v>
      </c>
      <c r="D1090" t="s">
        <v>1307</v>
      </c>
      <c r="E1090" t="s">
        <v>1985</v>
      </c>
      <c r="F1090" t="s">
        <v>2093</v>
      </c>
      <c r="G1090">
        <v>10035</v>
      </c>
      <c r="K1090">
        <v>2</v>
      </c>
      <c r="L1090">
        <v>0</v>
      </c>
      <c r="M1090">
        <v>140.99</v>
      </c>
    </row>
    <row r="1091" spans="1:13">
      <c r="A1091" s="1">
        <f>HYPERLINK("https://lsnyc.legalserver.org/matter/dynamic-profile/view/0823311","16-0823311")</f>
        <v>0</v>
      </c>
      <c r="B1091" t="s">
        <v>13</v>
      </c>
      <c r="C1091" t="s">
        <v>593</v>
      </c>
      <c r="D1091" t="s">
        <v>1313</v>
      </c>
      <c r="E1091" t="s">
        <v>1988</v>
      </c>
      <c r="F1091" t="s">
        <v>2091</v>
      </c>
      <c r="G1091">
        <v>11208</v>
      </c>
      <c r="K1091">
        <v>2</v>
      </c>
      <c r="L1091">
        <v>0</v>
      </c>
      <c r="M1091">
        <v>141.2</v>
      </c>
    </row>
    <row r="1092" spans="1:13">
      <c r="A1092" s="1">
        <f>HYPERLINK("https://lsnyc.legalserver.org/matter/dynamic-profile/view/1849262","17-1849262")</f>
        <v>0</v>
      </c>
      <c r="B1092" t="s">
        <v>13</v>
      </c>
      <c r="C1092" t="s">
        <v>594</v>
      </c>
      <c r="D1092" t="s">
        <v>1314</v>
      </c>
      <c r="E1092" t="s">
        <v>1529</v>
      </c>
      <c r="F1092" t="s">
        <v>2091</v>
      </c>
      <c r="G1092">
        <v>11213</v>
      </c>
      <c r="K1092">
        <v>2</v>
      </c>
      <c r="L1092">
        <v>0</v>
      </c>
      <c r="M1092">
        <v>141.43</v>
      </c>
    </row>
    <row r="1093" spans="1:13">
      <c r="A1093" s="1">
        <f>HYPERLINK("https://lsnyc.legalserver.org/matter/dynamic-profile/view/1837243","17-1837243")</f>
        <v>0</v>
      </c>
      <c r="B1093" t="s">
        <v>13</v>
      </c>
      <c r="C1093" t="s">
        <v>595</v>
      </c>
      <c r="D1093" t="s">
        <v>1315</v>
      </c>
      <c r="E1093" t="s">
        <v>1877</v>
      </c>
      <c r="F1093" t="s">
        <v>2093</v>
      </c>
      <c r="G1093">
        <v>10035</v>
      </c>
      <c r="K1093">
        <v>2</v>
      </c>
      <c r="L1093">
        <v>0</v>
      </c>
      <c r="M1093">
        <v>141.63</v>
      </c>
    </row>
    <row r="1094" spans="1:13">
      <c r="A1094" s="1">
        <f>HYPERLINK("https://lsnyc.legalserver.org/matter/dynamic-profile/view/1864302","18-1864302")</f>
        <v>0</v>
      </c>
      <c r="B1094" t="s">
        <v>13</v>
      </c>
      <c r="C1094" t="s">
        <v>596</v>
      </c>
      <c r="D1094" t="s">
        <v>1316</v>
      </c>
      <c r="E1094" t="s">
        <v>1791</v>
      </c>
      <c r="F1094" t="s">
        <v>2089</v>
      </c>
      <c r="G1094">
        <v>10452</v>
      </c>
      <c r="K1094">
        <v>2</v>
      </c>
      <c r="L1094">
        <v>0</v>
      </c>
      <c r="M1094">
        <v>142.16</v>
      </c>
    </row>
    <row r="1095" spans="1:13">
      <c r="A1095" s="1">
        <f>HYPERLINK("https://lsnyc.legalserver.org/matter/dynamic-profile/view/1850144","17-1850144")</f>
        <v>0</v>
      </c>
      <c r="B1095" t="s">
        <v>13</v>
      </c>
      <c r="C1095" t="s">
        <v>597</v>
      </c>
      <c r="D1095" t="s">
        <v>1317</v>
      </c>
      <c r="E1095" t="s">
        <v>1989</v>
      </c>
      <c r="F1095" t="s">
        <v>2093</v>
      </c>
      <c r="G1095">
        <v>10032</v>
      </c>
      <c r="K1095">
        <v>2</v>
      </c>
      <c r="L1095">
        <v>0</v>
      </c>
      <c r="M1095">
        <v>142.19</v>
      </c>
    </row>
    <row r="1096" spans="1:13">
      <c r="A1096" s="1">
        <f>HYPERLINK("https://lsnyc.legalserver.org/matter/dynamic-profile/view/1852418","17-1852418")</f>
        <v>0</v>
      </c>
      <c r="B1096" t="s">
        <v>13</v>
      </c>
      <c r="C1096" t="s">
        <v>598</v>
      </c>
      <c r="D1096" t="s">
        <v>915</v>
      </c>
      <c r="E1096" t="s">
        <v>1697</v>
      </c>
      <c r="F1096" t="s">
        <v>2089</v>
      </c>
      <c r="G1096">
        <v>10456</v>
      </c>
      <c r="K1096">
        <v>3</v>
      </c>
      <c r="L1096">
        <v>0</v>
      </c>
      <c r="M1096">
        <v>142.61</v>
      </c>
    </row>
    <row r="1097" spans="1:13">
      <c r="A1097" s="1">
        <f>HYPERLINK("https://lsnyc.legalserver.org/matter/dynamic-profile/view/1842928","17-1842928")</f>
        <v>0</v>
      </c>
      <c r="B1097" t="s">
        <v>13</v>
      </c>
      <c r="C1097" t="s">
        <v>194</v>
      </c>
      <c r="D1097" t="s">
        <v>1318</v>
      </c>
      <c r="E1097" t="s">
        <v>1472</v>
      </c>
      <c r="F1097" t="s">
        <v>2090</v>
      </c>
      <c r="G1097">
        <v>10314</v>
      </c>
      <c r="K1097">
        <v>1</v>
      </c>
      <c r="L1097">
        <v>0</v>
      </c>
      <c r="M1097">
        <v>143.27</v>
      </c>
    </row>
    <row r="1098" spans="1:13">
      <c r="A1098" s="1">
        <f>HYPERLINK("https://lsnyc.legalserver.org/matter/dynamic-profile/view/1864510","18-1864510")</f>
        <v>0</v>
      </c>
      <c r="B1098" t="s">
        <v>13</v>
      </c>
      <c r="C1098" t="s">
        <v>599</v>
      </c>
      <c r="D1098" t="s">
        <v>1319</v>
      </c>
      <c r="E1098" t="s">
        <v>1990</v>
      </c>
      <c r="F1098" t="s">
        <v>2089</v>
      </c>
      <c r="G1098">
        <v>10454</v>
      </c>
      <c r="K1098">
        <v>2</v>
      </c>
      <c r="L1098">
        <v>0</v>
      </c>
      <c r="M1098">
        <v>143.33</v>
      </c>
    </row>
    <row r="1099" spans="1:13">
      <c r="A1099" s="1">
        <f>HYPERLINK("https://lsnyc.legalserver.org/matter/dynamic-profile/view/0824533","17-0824533")</f>
        <v>0</v>
      </c>
      <c r="B1099" t="s">
        <v>13</v>
      </c>
      <c r="C1099" t="s">
        <v>565</v>
      </c>
      <c r="D1099" t="s">
        <v>1285</v>
      </c>
      <c r="E1099" t="s">
        <v>1965</v>
      </c>
      <c r="F1099" t="s">
        <v>2091</v>
      </c>
      <c r="G1099">
        <v>11236</v>
      </c>
      <c r="K1099">
        <v>1</v>
      </c>
      <c r="L1099">
        <v>0</v>
      </c>
      <c r="M1099">
        <v>143.54</v>
      </c>
    </row>
    <row r="1100" spans="1:13">
      <c r="A1100" s="1">
        <f>HYPERLINK("https://lsnyc.legalserver.org/matter/dynamic-profile/view/1870514","18-1870514")</f>
        <v>0</v>
      </c>
      <c r="B1100" t="s">
        <v>13</v>
      </c>
      <c r="C1100" t="s">
        <v>600</v>
      </c>
      <c r="D1100" t="s">
        <v>1320</v>
      </c>
      <c r="E1100" t="s">
        <v>1804</v>
      </c>
      <c r="F1100" t="s">
        <v>2089</v>
      </c>
      <c r="G1100">
        <v>10456</v>
      </c>
      <c r="K1100">
        <v>3</v>
      </c>
      <c r="L1100">
        <v>0</v>
      </c>
      <c r="M1100">
        <v>144.37</v>
      </c>
    </row>
    <row r="1101" spans="1:13">
      <c r="A1101" s="1">
        <f>HYPERLINK("https://lsnyc.legalserver.org/matter/dynamic-profile/view/1870509","18-1870509")</f>
        <v>0</v>
      </c>
      <c r="B1101" t="s">
        <v>13</v>
      </c>
      <c r="C1101" t="s">
        <v>600</v>
      </c>
      <c r="D1101" t="s">
        <v>1320</v>
      </c>
      <c r="E1101" t="s">
        <v>1804</v>
      </c>
      <c r="F1101" t="s">
        <v>2089</v>
      </c>
      <c r="G1101">
        <v>10456</v>
      </c>
      <c r="K1101">
        <v>3</v>
      </c>
      <c r="L1101">
        <v>0</v>
      </c>
      <c r="M1101">
        <v>144.37</v>
      </c>
    </row>
    <row r="1102" spans="1:13">
      <c r="A1102" s="1">
        <f>HYPERLINK("https://lsnyc.legalserver.org/matter/dynamic-profile/view/1862472","18-1862472")</f>
        <v>0</v>
      </c>
      <c r="B1102" t="s">
        <v>13</v>
      </c>
      <c r="C1102" t="s">
        <v>318</v>
      </c>
      <c r="D1102" t="s">
        <v>1321</v>
      </c>
      <c r="E1102" t="s">
        <v>1991</v>
      </c>
      <c r="F1102" t="s">
        <v>2091</v>
      </c>
      <c r="G1102">
        <v>11207</v>
      </c>
      <c r="K1102">
        <v>3</v>
      </c>
      <c r="L1102">
        <v>0</v>
      </c>
      <c r="M1102">
        <v>144.37</v>
      </c>
    </row>
    <row r="1103" spans="1:13">
      <c r="A1103" s="1">
        <f>HYPERLINK("https://lsnyc.legalserver.org/matter/dynamic-profile/view/1887699","19-1887699")</f>
        <v>0</v>
      </c>
      <c r="B1103" t="s">
        <v>13</v>
      </c>
      <c r="C1103" t="s">
        <v>318</v>
      </c>
      <c r="D1103" t="s">
        <v>1321</v>
      </c>
      <c r="E1103" t="s">
        <v>1991</v>
      </c>
      <c r="F1103" t="s">
        <v>2091</v>
      </c>
      <c r="G1103">
        <v>11207</v>
      </c>
      <c r="K1103">
        <v>3</v>
      </c>
      <c r="L1103">
        <v>0</v>
      </c>
      <c r="M1103">
        <v>144.37</v>
      </c>
    </row>
    <row r="1104" spans="1:13">
      <c r="A1104" s="1">
        <f>HYPERLINK("https://lsnyc.legalserver.org/matter/dynamic-profile/view/0800753","16-0800753")</f>
        <v>0</v>
      </c>
      <c r="B1104" t="s">
        <v>13</v>
      </c>
      <c r="C1104" t="s">
        <v>601</v>
      </c>
      <c r="D1104" t="s">
        <v>756</v>
      </c>
      <c r="E1104" t="s">
        <v>1992</v>
      </c>
      <c r="F1104" t="s">
        <v>2091</v>
      </c>
      <c r="G1104">
        <v>11212</v>
      </c>
      <c r="K1104">
        <v>1</v>
      </c>
      <c r="L1104">
        <v>0</v>
      </c>
      <c r="M1104">
        <v>144.44</v>
      </c>
    </row>
    <row r="1105" spans="1:13">
      <c r="A1105" s="1">
        <f>HYPERLINK("https://lsnyc.legalserver.org/matter/dynamic-profile/view/0810298","16-0810298")</f>
        <v>0</v>
      </c>
      <c r="B1105" t="s">
        <v>13</v>
      </c>
      <c r="C1105" t="s">
        <v>602</v>
      </c>
      <c r="D1105" t="s">
        <v>833</v>
      </c>
      <c r="E1105" t="s">
        <v>1503</v>
      </c>
      <c r="F1105" t="s">
        <v>2093</v>
      </c>
      <c r="G1105">
        <v>10029</v>
      </c>
      <c r="K1105">
        <v>1</v>
      </c>
      <c r="L1105">
        <v>0</v>
      </c>
      <c r="M1105">
        <v>145.05</v>
      </c>
    </row>
    <row r="1106" spans="1:13">
      <c r="A1106" s="1">
        <f>HYPERLINK("https://lsnyc.legalserver.org/matter/dynamic-profile/view/1846931","17-1846931")</f>
        <v>0</v>
      </c>
      <c r="B1106" t="s">
        <v>13</v>
      </c>
      <c r="C1106" t="s">
        <v>39</v>
      </c>
      <c r="D1106" t="s">
        <v>811</v>
      </c>
      <c r="E1106" t="s">
        <v>1993</v>
      </c>
      <c r="F1106" t="s">
        <v>2102</v>
      </c>
      <c r="G1106">
        <v>11101</v>
      </c>
      <c r="K1106">
        <v>1</v>
      </c>
      <c r="L1106">
        <v>0</v>
      </c>
      <c r="M1106">
        <v>145.07</v>
      </c>
    </row>
    <row r="1107" spans="1:13">
      <c r="A1107" s="1">
        <f>HYPERLINK("https://lsnyc.legalserver.org/matter/dynamic-profile/view/1852984","17-1852984")</f>
        <v>0</v>
      </c>
      <c r="B1107" t="s">
        <v>13</v>
      </c>
      <c r="C1107" t="s">
        <v>215</v>
      </c>
      <c r="D1107" t="s">
        <v>1322</v>
      </c>
      <c r="E1107" t="s">
        <v>1994</v>
      </c>
      <c r="F1107" t="s">
        <v>2094</v>
      </c>
      <c r="G1107">
        <v>11432</v>
      </c>
      <c r="K1107">
        <v>4</v>
      </c>
      <c r="L1107">
        <v>0</v>
      </c>
      <c r="M1107">
        <v>146.34</v>
      </c>
    </row>
    <row r="1108" spans="1:13">
      <c r="A1108" s="1">
        <f>HYPERLINK("https://lsnyc.legalserver.org/matter/dynamic-profile/view/0797705","16-0797705")</f>
        <v>0</v>
      </c>
      <c r="B1108" t="s">
        <v>13</v>
      </c>
      <c r="C1108" t="s">
        <v>603</v>
      </c>
      <c r="D1108" t="s">
        <v>959</v>
      </c>
      <c r="E1108" t="s">
        <v>1560</v>
      </c>
      <c r="F1108" t="s">
        <v>2089</v>
      </c>
      <c r="G1108">
        <v>10453</v>
      </c>
      <c r="K1108">
        <v>1</v>
      </c>
      <c r="L1108">
        <v>0</v>
      </c>
      <c r="M1108">
        <v>146.41</v>
      </c>
    </row>
    <row r="1109" spans="1:13">
      <c r="A1109" s="1">
        <f>HYPERLINK("https://lsnyc.legalserver.org/matter/dynamic-profile/view/1843438","17-1843438")</f>
        <v>0</v>
      </c>
      <c r="B1109" t="s">
        <v>13</v>
      </c>
      <c r="C1109" t="s">
        <v>52</v>
      </c>
      <c r="D1109" t="s">
        <v>765</v>
      </c>
      <c r="E1109" t="s">
        <v>1995</v>
      </c>
      <c r="F1109" t="s">
        <v>2093</v>
      </c>
      <c r="G1109">
        <v>10040</v>
      </c>
      <c r="K1109">
        <v>3</v>
      </c>
      <c r="L1109">
        <v>0</v>
      </c>
      <c r="M1109">
        <v>146.91</v>
      </c>
    </row>
    <row r="1110" spans="1:13">
      <c r="A1110" s="1">
        <f>HYPERLINK("https://lsnyc.legalserver.org/matter/dynamic-profile/view/1841928","17-1841928")</f>
        <v>0</v>
      </c>
      <c r="B1110" t="s">
        <v>13</v>
      </c>
      <c r="C1110" t="s">
        <v>604</v>
      </c>
      <c r="D1110" t="s">
        <v>1323</v>
      </c>
      <c r="E1110" t="s">
        <v>1996</v>
      </c>
      <c r="F1110" t="s">
        <v>2091</v>
      </c>
      <c r="G1110">
        <v>11235</v>
      </c>
      <c r="K1110">
        <v>2</v>
      </c>
      <c r="L1110">
        <v>0</v>
      </c>
      <c r="M1110">
        <v>147.78</v>
      </c>
    </row>
    <row r="1111" spans="1:13">
      <c r="A1111" s="1">
        <f>HYPERLINK("https://lsnyc.legalserver.org/matter/dynamic-profile/view/1840460","17-1840460")</f>
        <v>0</v>
      </c>
      <c r="B1111" t="s">
        <v>13</v>
      </c>
      <c r="C1111" t="s">
        <v>53</v>
      </c>
      <c r="D1111" t="s">
        <v>1324</v>
      </c>
      <c r="E1111" t="s">
        <v>1997</v>
      </c>
      <c r="F1111" t="s">
        <v>2091</v>
      </c>
      <c r="G1111">
        <v>11226</v>
      </c>
      <c r="K1111">
        <v>2</v>
      </c>
      <c r="L1111">
        <v>0</v>
      </c>
      <c r="M1111">
        <v>147.78</v>
      </c>
    </row>
    <row r="1112" spans="1:13">
      <c r="A1112" s="1">
        <f>HYPERLINK("https://lsnyc.legalserver.org/matter/dynamic-profile/view/1842045","17-1842045")</f>
        <v>0</v>
      </c>
      <c r="B1112" t="s">
        <v>13</v>
      </c>
      <c r="C1112" t="s">
        <v>605</v>
      </c>
      <c r="D1112" t="s">
        <v>1325</v>
      </c>
      <c r="E1112" t="s">
        <v>1998</v>
      </c>
      <c r="F1112" t="s">
        <v>2091</v>
      </c>
      <c r="G1112">
        <v>11233</v>
      </c>
      <c r="K1112">
        <v>2</v>
      </c>
      <c r="L1112">
        <v>0</v>
      </c>
      <c r="M1112">
        <v>147.78</v>
      </c>
    </row>
    <row r="1113" spans="1:13">
      <c r="A1113" s="1">
        <f>HYPERLINK("https://lsnyc.legalserver.org/matter/dynamic-profile/view/1856266","18-1856266")</f>
        <v>0</v>
      </c>
      <c r="B1113" t="s">
        <v>13</v>
      </c>
      <c r="C1113" t="s">
        <v>606</v>
      </c>
      <c r="D1113" t="s">
        <v>1326</v>
      </c>
      <c r="E1113" t="s">
        <v>1609</v>
      </c>
      <c r="F1113" t="s">
        <v>2093</v>
      </c>
      <c r="G1113">
        <v>10034</v>
      </c>
      <c r="K1113">
        <v>2</v>
      </c>
      <c r="L1113">
        <v>0</v>
      </c>
      <c r="M1113">
        <v>147.78</v>
      </c>
    </row>
    <row r="1114" spans="1:13">
      <c r="A1114" s="1">
        <f>HYPERLINK("https://lsnyc.legalserver.org/matter/dynamic-profile/view/1861031","18-1861031")</f>
        <v>0</v>
      </c>
      <c r="B1114" t="s">
        <v>13</v>
      </c>
      <c r="C1114" t="s">
        <v>449</v>
      </c>
      <c r="D1114" t="s">
        <v>72</v>
      </c>
      <c r="E1114" t="s">
        <v>1999</v>
      </c>
      <c r="F1114" t="s">
        <v>2095</v>
      </c>
      <c r="G1114">
        <v>11691</v>
      </c>
      <c r="K1114">
        <v>2</v>
      </c>
      <c r="L1114">
        <v>0</v>
      </c>
      <c r="M1114">
        <v>147.85</v>
      </c>
    </row>
    <row r="1115" spans="1:13">
      <c r="A1115" s="1">
        <f>HYPERLINK("https://lsnyc.legalserver.org/matter/dynamic-profile/view/0804704","16-0804704")</f>
        <v>0</v>
      </c>
      <c r="B1115" t="s">
        <v>13</v>
      </c>
      <c r="C1115" t="s">
        <v>607</v>
      </c>
      <c r="D1115" t="s">
        <v>1327</v>
      </c>
      <c r="E1115" t="s">
        <v>1462</v>
      </c>
      <c r="F1115" t="s">
        <v>2092</v>
      </c>
      <c r="G1115">
        <v>11354</v>
      </c>
      <c r="K1115">
        <v>4</v>
      </c>
      <c r="L1115">
        <v>0</v>
      </c>
      <c r="M1115">
        <v>148.15</v>
      </c>
    </row>
    <row r="1116" spans="1:13">
      <c r="A1116" s="1">
        <f>HYPERLINK("https://lsnyc.legalserver.org/matter/dynamic-profile/view/1864513","18-1864513")</f>
        <v>0</v>
      </c>
      <c r="B1116" t="s">
        <v>13</v>
      </c>
      <c r="C1116" t="s">
        <v>608</v>
      </c>
      <c r="D1116" t="s">
        <v>1328</v>
      </c>
      <c r="E1116" t="s">
        <v>1512</v>
      </c>
      <c r="F1116" t="s">
        <v>2093</v>
      </c>
      <c r="G1116">
        <v>10029</v>
      </c>
      <c r="K1116">
        <v>2</v>
      </c>
      <c r="L1116">
        <v>0</v>
      </c>
      <c r="M1116">
        <v>148.19</v>
      </c>
    </row>
    <row r="1117" spans="1:13">
      <c r="A1117" s="1">
        <f>HYPERLINK("https://lsnyc.legalserver.org/matter/dynamic-profile/view/1863591","18-1863591")</f>
        <v>0</v>
      </c>
      <c r="B1117" t="s">
        <v>13</v>
      </c>
      <c r="C1117" t="s">
        <v>609</v>
      </c>
      <c r="D1117" t="s">
        <v>1329</v>
      </c>
      <c r="E1117" t="s">
        <v>1802</v>
      </c>
      <c r="F1117" t="s">
        <v>2089</v>
      </c>
      <c r="G1117">
        <v>10463</v>
      </c>
      <c r="K1117">
        <v>1</v>
      </c>
      <c r="L1117">
        <v>0</v>
      </c>
      <c r="M1117">
        <v>148.27</v>
      </c>
    </row>
    <row r="1118" spans="1:13">
      <c r="A1118" s="1">
        <f>HYPERLINK("https://lsnyc.legalserver.org/matter/dynamic-profile/view/1861343","18-1861343")</f>
        <v>0</v>
      </c>
      <c r="B1118" t="s">
        <v>13</v>
      </c>
      <c r="C1118" t="s">
        <v>610</v>
      </c>
      <c r="D1118" t="s">
        <v>875</v>
      </c>
      <c r="E1118" t="s">
        <v>1815</v>
      </c>
      <c r="F1118" t="s">
        <v>2093</v>
      </c>
      <c r="G1118">
        <v>10035</v>
      </c>
      <c r="K1118">
        <v>1</v>
      </c>
      <c r="L1118">
        <v>0</v>
      </c>
      <c r="M1118">
        <v>148.27</v>
      </c>
    </row>
    <row r="1119" spans="1:13">
      <c r="A1119" s="1">
        <f>HYPERLINK("https://lsnyc.legalserver.org/matter/dynamic-profile/view/0802559","16-0802559")</f>
        <v>0</v>
      </c>
      <c r="B1119" t="s">
        <v>13</v>
      </c>
      <c r="C1119" t="s">
        <v>611</v>
      </c>
      <c r="D1119" t="s">
        <v>1330</v>
      </c>
      <c r="E1119" t="s">
        <v>1599</v>
      </c>
      <c r="F1119" t="s">
        <v>2089</v>
      </c>
      <c r="G1119">
        <v>10452</v>
      </c>
      <c r="K1119">
        <v>2</v>
      </c>
      <c r="L1119">
        <v>0</v>
      </c>
      <c r="M1119">
        <v>148.29</v>
      </c>
    </row>
    <row r="1120" spans="1:13">
      <c r="A1120" s="1">
        <f>HYPERLINK("https://lsnyc.legalserver.org/matter/dynamic-profile/view/1844225","17-1844225")</f>
        <v>0</v>
      </c>
      <c r="B1120" t="s">
        <v>13</v>
      </c>
      <c r="C1120" t="s">
        <v>612</v>
      </c>
      <c r="D1120" t="s">
        <v>901</v>
      </c>
      <c r="E1120" t="s">
        <v>2000</v>
      </c>
      <c r="F1120" t="s">
        <v>2089</v>
      </c>
      <c r="G1120">
        <v>10453</v>
      </c>
      <c r="K1120">
        <v>1</v>
      </c>
      <c r="L1120">
        <v>0</v>
      </c>
      <c r="M1120">
        <v>148.36</v>
      </c>
    </row>
    <row r="1121" spans="1:13">
      <c r="A1121" s="1">
        <f>HYPERLINK("https://lsnyc.legalserver.org/matter/dynamic-profile/view/0795231","15-0795231")</f>
        <v>0</v>
      </c>
      <c r="B1121" t="s">
        <v>13</v>
      </c>
      <c r="C1121" t="s">
        <v>607</v>
      </c>
      <c r="D1121" t="s">
        <v>1327</v>
      </c>
      <c r="E1121" t="s">
        <v>2001</v>
      </c>
      <c r="F1121" t="s">
        <v>2092</v>
      </c>
      <c r="G1121">
        <v>11354</v>
      </c>
      <c r="K1121">
        <v>4</v>
      </c>
      <c r="L1121">
        <v>0</v>
      </c>
      <c r="M1121">
        <v>148.45</v>
      </c>
    </row>
    <row r="1122" spans="1:13">
      <c r="A1122" s="1">
        <f>HYPERLINK("https://lsnyc.legalserver.org/matter/dynamic-profile/view/1856199","18-1856199")</f>
        <v>0</v>
      </c>
      <c r="B1122" t="s">
        <v>13</v>
      </c>
      <c r="C1122" t="s">
        <v>613</v>
      </c>
      <c r="D1122" t="s">
        <v>1331</v>
      </c>
      <c r="E1122" t="s">
        <v>2002</v>
      </c>
      <c r="F1122" t="s">
        <v>2091</v>
      </c>
      <c r="G1122">
        <v>11239</v>
      </c>
      <c r="K1122">
        <v>3</v>
      </c>
      <c r="L1122">
        <v>0</v>
      </c>
      <c r="M1122">
        <v>148.46</v>
      </c>
    </row>
    <row r="1123" spans="1:13">
      <c r="A1123" s="1">
        <f>HYPERLINK("https://lsnyc.legalserver.org/matter/dynamic-profile/view/1869128","18-1869128")</f>
        <v>0</v>
      </c>
      <c r="B1123" t="s">
        <v>13</v>
      </c>
      <c r="C1123" t="s">
        <v>614</v>
      </c>
      <c r="D1123" t="s">
        <v>1332</v>
      </c>
      <c r="E1123" t="s">
        <v>2003</v>
      </c>
      <c r="F1123" t="s">
        <v>2091</v>
      </c>
      <c r="G1123">
        <v>11208</v>
      </c>
      <c r="K1123">
        <v>3</v>
      </c>
      <c r="L1123">
        <v>0</v>
      </c>
      <c r="M1123">
        <v>149.18</v>
      </c>
    </row>
    <row r="1124" spans="1:13">
      <c r="A1124" s="1">
        <f>HYPERLINK("https://lsnyc.legalserver.org/matter/dynamic-profile/view/1858055","18-1858055")</f>
        <v>0</v>
      </c>
      <c r="B1124" t="s">
        <v>13</v>
      </c>
      <c r="C1124" t="s">
        <v>609</v>
      </c>
      <c r="D1124" t="s">
        <v>1329</v>
      </c>
      <c r="E1124" t="s">
        <v>1802</v>
      </c>
      <c r="F1124" t="s">
        <v>2089</v>
      </c>
      <c r="G1124">
        <v>10463</v>
      </c>
      <c r="K1124">
        <v>1</v>
      </c>
      <c r="L1124">
        <v>0</v>
      </c>
      <c r="M1124">
        <v>149.25</v>
      </c>
    </row>
    <row r="1125" spans="1:13">
      <c r="A1125" s="1">
        <f>HYPERLINK("https://lsnyc.legalserver.org/matter/dynamic-profile/view/1833033","17-1833033")</f>
        <v>0</v>
      </c>
      <c r="B1125" t="s">
        <v>13</v>
      </c>
      <c r="C1125" t="s">
        <v>615</v>
      </c>
      <c r="D1125" t="s">
        <v>1333</v>
      </c>
      <c r="E1125" t="s">
        <v>2004</v>
      </c>
      <c r="F1125" t="s">
        <v>2102</v>
      </c>
      <c r="G1125">
        <v>11101</v>
      </c>
      <c r="K1125">
        <v>1</v>
      </c>
      <c r="L1125">
        <v>0</v>
      </c>
      <c r="M1125">
        <v>149.25</v>
      </c>
    </row>
    <row r="1126" spans="1:13">
      <c r="A1126" s="1">
        <f>HYPERLINK("https://lsnyc.legalserver.org/matter/dynamic-profile/view/1842159","17-1842159")</f>
        <v>0</v>
      </c>
      <c r="B1126" t="s">
        <v>13</v>
      </c>
      <c r="C1126" t="s">
        <v>616</v>
      </c>
      <c r="D1126" t="s">
        <v>304</v>
      </c>
      <c r="E1126" t="s">
        <v>1460</v>
      </c>
      <c r="F1126" t="s">
        <v>2089</v>
      </c>
      <c r="G1126">
        <v>10453</v>
      </c>
      <c r="K1126">
        <v>1</v>
      </c>
      <c r="L1126">
        <v>0</v>
      </c>
      <c r="M1126">
        <v>149.25</v>
      </c>
    </row>
    <row r="1127" spans="1:13">
      <c r="A1127" s="1">
        <f>HYPERLINK("https://lsnyc.legalserver.org/matter/dynamic-profile/view/1844544","17-1844544")</f>
        <v>0</v>
      </c>
      <c r="B1127" t="s">
        <v>13</v>
      </c>
      <c r="C1127" t="s">
        <v>617</v>
      </c>
      <c r="D1127" t="s">
        <v>72</v>
      </c>
      <c r="E1127" t="s">
        <v>2005</v>
      </c>
      <c r="F1127" t="s">
        <v>2089</v>
      </c>
      <c r="G1127">
        <v>10473</v>
      </c>
      <c r="K1127">
        <v>1</v>
      </c>
      <c r="L1127">
        <v>0</v>
      </c>
      <c r="M1127">
        <v>149.25</v>
      </c>
    </row>
    <row r="1128" spans="1:13">
      <c r="A1128" s="1">
        <f>HYPERLINK("https://lsnyc.legalserver.org/matter/dynamic-profile/view/1839720","17-1839720")</f>
        <v>0</v>
      </c>
      <c r="B1128" t="s">
        <v>13</v>
      </c>
      <c r="C1128" t="s">
        <v>433</v>
      </c>
      <c r="D1128" t="s">
        <v>1334</v>
      </c>
      <c r="E1128" t="s">
        <v>1528</v>
      </c>
      <c r="F1128" t="s">
        <v>2093</v>
      </c>
      <c r="G1128">
        <v>10034</v>
      </c>
      <c r="K1128">
        <v>1</v>
      </c>
      <c r="L1128">
        <v>0</v>
      </c>
      <c r="M1128">
        <v>149.25</v>
      </c>
    </row>
    <row r="1129" spans="1:13">
      <c r="A1129" s="1">
        <f>HYPERLINK("https://lsnyc.legalserver.org/matter/dynamic-profile/view/1841884","17-1841884")</f>
        <v>0</v>
      </c>
      <c r="B1129" t="s">
        <v>13</v>
      </c>
      <c r="C1129" t="s">
        <v>275</v>
      </c>
      <c r="D1129" t="s">
        <v>778</v>
      </c>
      <c r="E1129" t="s">
        <v>1546</v>
      </c>
      <c r="F1129" t="s">
        <v>2093</v>
      </c>
      <c r="G1129">
        <v>10040</v>
      </c>
      <c r="K1129">
        <v>1</v>
      </c>
      <c r="L1129">
        <v>0</v>
      </c>
      <c r="M1129">
        <v>149.25</v>
      </c>
    </row>
    <row r="1130" spans="1:13">
      <c r="A1130" s="1">
        <f>HYPERLINK("https://lsnyc.legalserver.org/matter/dynamic-profile/view/1852010","17-1852010")</f>
        <v>0</v>
      </c>
      <c r="B1130" t="s">
        <v>13</v>
      </c>
      <c r="C1130" t="s">
        <v>618</v>
      </c>
      <c r="D1130" t="s">
        <v>869</v>
      </c>
      <c r="E1130" t="s">
        <v>2006</v>
      </c>
      <c r="F1130" t="s">
        <v>2093</v>
      </c>
      <c r="G1130">
        <v>10034</v>
      </c>
      <c r="K1130">
        <v>1</v>
      </c>
      <c r="L1130">
        <v>0</v>
      </c>
      <c r="M1130">
        <v>149.85</v>
      </c>
    </row>
    <row r="1131" spans="1:13">
      <c r="A1131" s="1">
        <f>HYPERLINK("https://lsnyc.legalserver.org/matter/dynamic-profile/view/1864054","18-1864054")</f>
        <v>0</v>
      </c>
      <c r="B1131" t="s">
        <v>13</v>
      </c>
      <c r="C1131" t="s">
        <v>619</v>
      </c>
      <c r="D1131" t="s">
        <v>1335</v>
      </c>
      <c r="E1131" t="s">
        <v>1858</v>
      </c>
      <c r="F1131" t="s">
        <v>2093</v>
      </c>
      <c r="G1131">
        <v>10040</v>
      </c>
      <c r="K1131">
        <v>1</v>
      </c>
      <c r="L1131">
        <v>0</v>
      </c>
      <c r="M1131">
        <v>149.92</v>
      </c>
    </row>
    <row r="1132" spans="1:13">
      <c r="A1132" s="1">
        <f>HYPERLINK("https://lsnyc.legalserver.org/matter/dynamic-profile/view/0802902","16-0802902")</f>
        <v>0</v>
      </c>
      <c r="B1132" t="s">
        <v>13</v>
      </c>
      <c r="C1132" t="s">
        <v>620</v>
      </c>
      <c r="D1132" t="s">
        <v>710</v>
      </c>
      <c r="E1132" t="s">
        <v>2007</v>
      </c>
      <c r="F1132" t="s">
        <v>2091</v>
      </c>
      <c r="G1132">
        <v>11225</v>
      </c>
      <c r="K1132">
        <v>1</v>
      </c>
      <c r="L1132">
        <v>0</v>
      </c>
      <c r="M1132">
        <v>150.31</v>
      </c>
    </row>
    <row r="1133" spans="1:13">
      <c r="A1133" s="1">
        <f>HYPERLINK("https://lsnyc.legalserver.org/matter/dynamic-profile/view/1851168","17-1851168")</f>
        <v>0</v>
      </c>
      <c r="B1133" t="s">
        <v>13</v>
      </c>
      <c r="C1133" t="s">
        <v>621</v>
      </c>
      <c r="D1133" t="s">
        <v>1336</v>
      </c>
      <c r="E1133" t="s">
        <v>2008</v>
      </c>
      <c r="F1133" t="s">
        <v>2093</v>
      </c>
      <c r="G1133">
        <v>10029</v>
      </c>
      <c r="K1133">
        <v>1</v>
      </c>
      <c r="L1133">
        <v>0</v>
      </c>
      <c r="M1133">
        <v>150.56</v>
      </c>
    </row>
    <row r="1134" spans="1:13">
      <c r="A1134" s="1">
        <f>HYPERLINK("https://lsnyc.legalserver.org/matter/dynamic-profile/view/0776227","15-0776227")</f>
        <v>0</v>
      </c>
      <c r="B1134" t="s">
        <v>13</v>
      </c>
      <c r="C1134" t="s">
        <v>622</v>
      </c>
      <c r="D1134" t="s">
        <v>1121</v>
      </c>
      <c r="E1134" t="s">
        <v>2009</v>
      </c>
      <c r="F1134" t="s">
        <v>2091</v>
      </c>
      <c r="G1134">
        <v>11216</v>
      </c>
      <c r="K1134">
        <v>2</v>
      </c>
      <c r="L1134">
        <v>0</v>
      </c>
      <c r="M1134">
        <v>150.66</v>
      </c>
    </row>
    <row r="1135" spans="1:13">
      <c r="A1135" s="1">
        <f>HYPERLINK("https://lsnyc.legalserver.org/matter/dynamic-profile/view/1840717","17-1840717")</f>
        <v>0</v>
      </c>
      <c r="B1135" t="s">
        <v>13</v>
      </c>
      <c r="C1135" t="s">
        <v>623</v>
      </c>
      <c r="D1135" t="s">
        <v>1337</v>
      </c>
      <c r="E1135" t="s">
        <v>1460</v>
      </c>
      <c r="F1135" t="s">
        <v>2089</v>
      </c>
      <c r="G1135">
        <v>10453</v>
      </c>
      <c r="K1135">
        <v>1</v>
      </c>
      <c r="L1135">
        <v>0</v>
      </c>
      <c r="M1135">
        <v>150.91</v>
      </c>
    </row>
    <row r="1136" spans="1:13">
      <c r="A1136" s="1">
        <f>HYPERLINK("https://lsnyc.legalserver.org/matter/dynamic-profile/view/1836404","17-1836404")</f>
        <v>0</v>
      </c>
      <c r="B1136" t="s">
        <v>13</v>
      </c>
      <c r="C1136" t="s">
        <v>619</v>
      </c>
      <c r="D1136" t="s">
        <v>1335</v>
      </c>
      <c r="E1136" t="s">
        <v>1858</v>
      </c>
      <c r="F1136" t="s">
        <v>2093</v>
      </c>
      <c r="G1136">
        <v>10040</v>
      </c>
      <c r="K1136">
        <v>1</v>
      </c>
      <c r="L1136">
        <v>0</v>
      </c>
      <c r="M1136">
        <v>150.91</v>
      </c>
    </row>
    <row r="1137" spans="1:13">
      <c r="A1137" s="1">
        <f>HYPERLINK("https://lsnyc.legalserver.org/matter/dynamic-profile/view/1857072","18-1857072")</f>
        <v>0</v>
      </c>
      <c r="B1137" t="s">
        <v>13</v>
      </c>
      <c r="C1137" t="s">
        <v>255</v>
      </c>
      <c r="D1137" t="s">
        <v>1338</v>
      </c>
      <c r="E1137" t="s">
        <v>1470</v>
      </c>
      <c r="F1137" t="s">
        <v>2089</v>
      </c>
      <c r="G1137">
        <v>10452</v>
      </c>
      <c r="K1137">
        <v>1</v>
      </c>
      <c r="L1137">
        <v>0</v>
      </c>
      <c r="M1137">
        <v>150.91</v>
      </c>
    </row>
    <row r="1138" spans="1:13">
      <c r="A1138" s="1">
        <f>HYPERLINK("https://lsnyc.legalserver.org/matter/dynamic-profile/view/1867127","18-1867127")</f>
        <v>0</v>
      </c>
      <c r="B1138" t="s">
        <v>13</v>
      </c>
      <c r="C1138" t="s">
        <v>39</v>
      </c>
      <c r="D1138" t="s">
        <v>1139</v>
      </c>
      <c r="E1138" t="s">
        <v>2010</v>
      </c>
      <c r="F1138" t="s">
        <v>2093</v>
      </c>
      <c r="G1138">
        <v>10032</v>
      </c>
      <c r="K1138">
        <v>4</v>
      </c>
      <c r="L1138">
        <v>0</v>
      </c>
      <c r="M1138">
        <v>151.39</v>
      </c>
    </row>
    <row r="1139" spans="1:13">
      <c r="A1139" s="1">
        <f>HYPERLINK("https://lsnyc.legalserver.org/matter/dynamic-profile/view/0805023","16-0805023")</f>
        <v>0</v>
      </c>
      <c r="B1139" t="s">
        <v>13</v>
      </c>
      <c r="C1139" t="s">
        <v>452</v>
      </c>
      <c r="D1139" t="s">
        <v>720</v>
      </c>
      <c r="E1139" t="s">
        <v>2011</v>
      </c>
      <c r="F1139" t="s">
        <v>2091</v>
      </c>
      <c r="G1139">
        <v>11226</v>
      </c>
      <c r="K1139">
        <v>1</v>
      </c>
      <c r="L1139">
        <v>0</v>
      </c>
      <c r="M1139">
        <v>151.52</v>
      </c>
    </row>
    <row r="1140" spans="1:13">
      <c r="A1140" s="1">
        <f>HYPERLINK("https://lsnyc.legalserver.org/matter/dynamic-profile/view/0823413","16-0823413")</f>
        <v>0</v>
      </c>
      <c r="B1140" t="s">
        <v>13</v>
      </c>
      <c r="C1140" t="s">
        <v>616</v>
      </c>
      <c r="D1140" t="s">
        <v>304</v>
      </c>
      <c r="E1140" t="s">
        <v>1460</v>
      </c>
      <c r="F1140" t="s">
        <v>2089</v>
      </c>
      <c r="G1140">
        <v>10453</v>
      </c>
      <c r="K1140">
        <v>1</v>
      </c>
      <c r="L1140">
        <v>0</v>
      </c>
      <c r="M1140">
        <v>151.52</v>
      </c>
    </row>
    <row r="1141" spans="1:13">
      <c r="A1141" s="1">
        <f>HYPERLINK("https://lsnyc.legalserver.org/matter/dynamic-profile/view/0821525","16-0821525")</f>
        <v>0</v>
      </c>
      <c r="B1141" t="s">
        <v>13</v>
      </c>
      <c r="C1141" t="s">
        <v>624</v>
      </c>
      <c r="D1141" t="s">
        <v>1339</v>
      </c>
      <c r="E1141" t="s">
        <v>1473</v>
      </c>
      <c r="F1141" t="s">
        <v>2089</v>
      </c>
      <c r="G1141">
        <v>10467</v>
      </c>
      <c r="K1141">
        <v>1</v>
      </c>
      <c r="L1141">
        <v>0</v>
      </c>
      <c r="M1141">
        <v>151.52</v>
      </c>
    </row>
    <row r="1142" spans="1:13">
      <c r="A1142" s="1">
        <f>HYPERLINK("https://lsnyc.legalserver.org/matter/dynamic-profile/view/0830541","17-0830541")</f>
        <v>0</v>
      </c>
      <c r="B1142" t="s">
        <v>13</v>
      </c>
      <c r="C1142" t="s">
        <v>38</v>
      </c>
      <c r="D1142" t="s">
        <v>1340</v>
      </c>
      <c r="E1142" t="s">
        <v>1570</v>
      </c>
      <c r="F1142" t="s">
        <v>2091</v>
      </c>
      <c r="G1142">
        <v>11233</v>
      </c>
      <c r="K1142">
        <v>1</v>
      </c>
      <c r="L1142">
        <v>0</v>
      </c>
      <c r="M1142">
        <v>151.77</v>
      </c>
    </row>
    <row r="1143" spans="1:13">
      <c r="A1143" s="1">
        <f>HYPERLINK("https://lsnyc.legalserver.org/matter/dynamic-profile/view/0795228","15-0795228")</f>
        <v>0</v>
      </c>
      <c r="B1143" t="s">
        <v>13</v>
      </c>
      <c r="C1143" t="s">
        <v>39</v>
      </c>
      <c r="D1143" t="s">
        <v>845</v>
      </c>
      <c r="E1143" t="s">
        <v>1462</v>
      </c>
      <c r="F1143" t="s">
        <v>2092</v>
      </c>
      <c r="G1143">
        <v>11354</v>
      </c>
      <c r="K1143">
        <v>1</v>
      </c>
      <c r="L1143">
        <v>0</v>
      </c>
      <c r="M1143">
        <v>152.93</v>
      </c>
    </row>
    <row r="1144" spans="1:13">
      <c r="A1144" s="1">
        <f>HYPERLINK("https://lsnyc.legalserver.org/matter/dynamic-profile/view/1838865","17-1838865")</f>
        <v>0</v>
      </c>
      <c r="B1144" t="s">
        <v>13</v>
      </c>
      <c r="C1144" t="s">
        <v>625</v>
      </c>
      <c r="D1144" t="s">
        <v>1341</v>
      </c>
      <c r="E1144" t="s">
        <v>1952</v>
      </c>
      <c r="F1144" t="s">
        <v>2089</v>
      </c>
      <c r="G1144">
        <v>10473</v>
      </c>
      <c r="K1144">
        <v>1</v>
      </c>
      <c r="L1144">
        <v>0</v>
      </c>
      <c r="M1144">
        <v>153.13</v>
      </c>
    </row>
    <row r="1145" spans="1:13">
      <c r="A1145" s="1">
        <f>HYPERLINK("https://lsnyc.legalserver.org/matter/dynamic-profile/view/0819815","16-0819815")</f>
        <v>0</v>
      </c>
      <c r="B1145" t="s">
        <v>13</v>
      </c>
      <c r="C1145" t="s">
        <v>623</v>
      </c>
      <c r="D1145" t="s">
        <v>1337</v>
      </c>
      <c r="E1145" t="s">
        <v>1460</v>
      </c>
      <c r="F1145" t="s">
        <v>2089</v>
      </c>
      <c r="G1145">
        <v>10453</v>
      </c>
      <c r="K1145">
        <v>1</v>
      </c>
      <c r="L1145">
        <v>0</v>
      </c>
      <c r="M1145">
        <v>153.2</v>
      </c>
    </row>
    <row r="1146" spans="1:13">
      <c r="A1146" s="1">
        <f>HYPERLINK("https://lsnyc.legalserver.org/matter/dynamic-profile/view/0819818","16-0819818")</f>
        <v>0</v>
      </c>
      <c r="B1146" t="s">
        <v>13</v>
      </c>
      <c r="C1146" t="s">
        <v>623</v>
      </c>
      <c r="D1146" t="s">
        <v>1337</v>
      </c>
      <c r="E1146" t="s">
        <v>1460</v>
      </c>
      <c r="F1146" t="s">
        <v>2089</v>
      </c>
      <c r="G1146">
        <v>10453</v>
      </c>
      <c r="K1146">
        <v>1</v>
      </c>
      <c r="L1146">
        <v>0</v>
      </c>
      <c r="M1146">
        <v>153.2</v>
      </c>
    </row>
    <row r="1147" spans="1:13">
      <c r="A1147" s="1">
        <f>HYPERLINK("https://lsnyc.legalserver.org/matter/dynamic-profile/view/1840473","17-1840473")</f>
        <v>0</v>
      </c>
      <c r="B1147" t="s">
        <v>13</v>
      </c>
      <c r="C1147" t="s">
        <v>626</v>
      </c>
      <c r="D1147" t="s">
        <v>706</v>
      </c>
      <c r="E1147" t="s">
        <v>1460</v>
      </c>
      <c r="F1147" t="s">
        <v>2089</v>
      </c>
      <c r="G1147">
        <v>10453</v>
      </c>
      <c r="K1147">
        <v>2</v>
      </c>
      <c r="L1147">
        <v>0</v>
      </c>
      <c r="M1147">
        <v>153.69</v>
      </c>
    </row>
    <row r="1148" spans="1:13">
      <c r="A1148" s="1">
        <f>HYPERLINK("https://lsnyc.legalserver.org/matter/dynamic-profile/view/1854804","17-1854804")</f>
        <v>0</v>
      </c>
      <c r="B1148" t="s">
        <v>13</v>
      </c>
      <c r="C1148" t="s">
        <v>627</v>
      </c>
      <c r="D1148" t="s">
        <v>1339</v>
      </c>
      <c r="E1148" t="s">
        <v>2012</v>
      </c>
      <c r="F1148" t="s">
        <v>2090</v>
      </c>
      <c r="G1148">
        <v>10304</v>
      </c>
      <c r="K1148">
        <v>2</v>
      </c>
      <c r="L1148">
        <v>0</v>
      </c>
      <c r="M1148">
        <v>153.94</v>
      </c>
    </row>
    <row r="1149" spans="1:13">
      <c r="A1149" s="1">
        <f>HYPERLINK("https://lsnyc.legalserver.org/matter/dynamic-profile/view/1850779","17-1850779")</f>
        <v>0</v>
      </c>
      <c r="B1149" t="s">
        <v>13</v>
      </c>
      <c r="C1149" t="s">
        <v>144</v>
      </c>
      <c r="D1149" t="s">
        <v>804</v>
      </c>
      <c r="E1149" t="s">
        <v>1529</v>
      </c>
      <c r="F1149" t="s">
        <v>2091</v>
      </c>
      <c r="G1149">
        <v>11213</v>
      </c>
      <c r="K1149">
        <v>2</v>
      </c>
      <c r="L1149">
        <v>0</v>
      </c>
      <c r="M1149">
        <v>153.94</v>
      </c>
    </row>
    <row r="1150" spans="1:13">
      <c r="A1150" s="1">
        <f>HYPERLINK("https://lsnyc.legalserver.org/matter/dynamic-profile/view/0796758","16-0796758")</f>
        <v>0</v>
      </c>
      <c r="B1150" t="s">
        <v>13</v>
      </c>
      <c r="C1150" t="s">
        <v>255</v>
      </c>
      <c r="D1150" t="s">
        <v>1338</v>
      </c>
      <c r="E1150" t="s">
        <v>1470</v>
      </c>
      <c r="F1150" t="s">
        <v>2089</v>
      </c>
      <c r="G1150">
        <v>10452</v>
      </c>
      <c r="K1150">
        <v>1</v>
      </c>
      <c r="L1150">
        <v>0</v>
      </c>
      <c r="M1150">
        <v>154.63</v>
      </c>
    </row>
    <row r="1151" spans="1:13">
      <c r="A1151" s="1">
        <f>HYPERLINK("https://lsnyc.legalserver.org/matter/dynamic-profile/view/0820656","16-0820656")</f>
        <v>0</v>
      </c>
      <c r="B1151" t="s">
        <v>13</v>
      </c>
      <c r="C1151" t="s">
        <v>18</v>
      </c>
      <c r="D1151" t="s">
        <v>1105</v>
      </c>
      <c r="E1151" t="s">
        <v>1966</v>
      </c>
      <c r="F1151" t="s">
        <v>2091</v>
      </c>
      <c r="G1151">
        <v>11207</v>
      </c>
      <c r="K1151">
        <v>2</v>
      </c>
      <c r="L1151">
        <v>0</v>
      </c>
      <c r="M1151">
        <v>155.21</v>
      </c>
    </row>
    <row r="1152" spans="1:13">
      <c r="A1152" s="1">
        <f>HYPERLINK("https://lsnyc.legalserver.org/matter/dynamic-profile/view/0831758","17-0831758")</f>
        <v>0</v>
      </c>
      <c r="B1152" t="s">
        <v>13</v>
      </c>
      <c r="C1152" t="s">
        <v>165</v>
      </c>
      <c r="D1152" t="s">
        <v>1342</v>
      </c>
      <c r="E1152" t="s">
        <v>2013</v>
      </c>
      <c r="F1152" t="s">
        <v>2091</v>
      </c>
      <c r="G1152">
        <v>11212</v>
      </c>
      <c r="K1152">
        <v>1</v>
      </c>
      <c r="L1152">
        <v>0</v>
      </c>
      <c r="M1152">
        <v>155.22</v>
      </c>
    </row>
    <row r="1153" spans="1:13">
      <c r="A1153" s="1">
        <f>HYPERLINK("https://lsnyc.legalserver.org/matter/dynamic-profile/view/0820412","16-0820412")</f>
        <v>0</v>
      </c>
      <c r="B1153" t="s">
        <v>13</v>
      </c>
      <c r="C1153" t="s">
        <v>626</v>
      </c>
      <c r="D1153" t="s">
        <v>706</v>
      </c>
      <c r="E1153" t="s">
        <v>1460</v>
      </c>
      <c r="F1153" t="s">
        <v>2089</v>
      </c>
      <c r="G1153">
        <v>10453</v>
      </c>
      <c r="K1153">
        <v>2</v>
      </c>
      <c r="L1153">
        <v>0</v>
      </c>
      <c r="M1153">
        <v>155.81</v>
      </c>
    </row>
    <row r="1154" spans="1:13">
      <c r="A1154" s="1">
        <f>HYPERLINK("https://lsnyc.legalserver.org/matter/dynamic-profile/view/0820411","16-0820411")</f>
        <v>0</v>
      </c>
      <c r="B1154" t="s">
        <v>13</v>
      </c>
      <c r="C1154" t="s">
        <v>626</v>
      </c>
      <c r="D1154" t="s">
        <v>706</v>
      </c>
      <c r="E1154" t="s">
        <v>1460</v>
      </c>
      <c r="F1154" t="s">
        <v>2089</v>
      </c>
      <c r="G1154">
        <v>10453</v>
      </c>
      <c r="K1154">
        <v>2</v>
      </c>
      <c r="L1154">
        <v>0</v>
      </c>
      <c r="M1154">
        <v>155.81</v>
      </c>
    </row>
    <row r="1155" spans="1:13">
      <c r="A1155" s="1">
        <f>HYPERLINK("https://lsnyc.legalserver.org/matter/dynamic-profile/view/0821429","16-0821429")</f>
        <v>0</v>
      </c>
      <c r="B1155" t="s">
        <v>13</v>
      </c>
      <c r="C1155" t="s">
        <v>628</v>
      </c>
      <c r="D1155" t="s">
        <v>1343</v>
      </c>
      <c r="E1155" t="s">
        <v>2014</v>
      </c>
      <c r="F1155" t="s">
        <v>2094</v>
      </c>
      <c r="G1155">
        <v>11432</v>
      </c>
      <c r="K1155">
        <v>3</v>
      </c>
      <c r="L1155">
        <v>0</v>
      </c>
      <c r="M1155">
        <v>156.13</v>
      </c>
    </row>
    <row r="1156" spans="1:13">
      <c r="A1156" s="1">
        <f>HYPERLINK("https://lsnyc.legalserver.org/matter/dynamic-profile/view/1865879","18-1865879")</f>
        <v>0</v>
      </c>
      <c r="B1156" t="s">
        <v>13</v>
      </c>
      <c r="C1156" t="s">
        <v>293</v>
      </c>
      <c r="D1156" t="s">
        <v>782</v>
      </c>
      <c r="E1156" t="s">
        <v>2015</v>
      </c>
      <c r="F1156" t="s">
        <v>2093</v>
      </c>
      <c r="G1156">
        <v>10029</v>
      </c>
      <c r="K1156">
        <v>1</v>
      </c>
      <c r="L1156">
        <v>0</v>
      </c>
      <c r="M1156">
        <v>156.51</v>
      </c>
    </row>
    <row r="1157" spans="1:13">
      <c r="A1157" s="1">
        <f>HYPERLINK("https://lsnyc.legalserver.org/matter/dynamic-profile/view/1847877","17-1847877")</f>
        <v>0</v>
      </c>
      <c r="B1157" t="s">
        <v>13</v>
      </c>
      <c r="C1157" t="s">
        <v>629</v>
      </c>
      <c r="D1157" t="s">
        <v>1344</v>
      </c>
      <c r="E1157" t="s">
        <v>2016</v>
      </c>
      <c r="F1157" t="s">
        <v>2090</v>
      </c>
      <c r="G1157">
        <v>10301</v>
      </c>
      <c r="K1157">
        <v>3</v>
      </c>
      <c r="L1157">
        <v>0</v>
      </c>
      <c r="M1157">
        <v>156.71</v>
      </c>
    </row>
    <row r="1158" spans="1:13">
      <c r="A1158" s="1">
        <f>HYPERLINK("https://lsnyc.legalserver.org/matter/dynamic-profile/view/1836438","17-1836438")</f>
        <v>0</v>
      </c>
      <c r="B1158" t="s">
        <v>13</v>
      </c>
      <c r="C1158" t="s">
        <v>630</v>
      </c>
      <c r="D1158" t="s">
        <v>941</v>
      </c>
      <c r="E1158" t="s">
        <v>2017</v>
      </c>
      <c r="F1158" t="s">
        <v>2093</v>
      </c>
      <c r="G1158">
        <v>10029</v>
      </c>
      <c r="K1158">
        <v>1</v>
      </c>
      <c r="L1158">
        <v>0</v>
      </c>
      <c r="M1158">
        <v>157.55</v>
      </c>
    </row>
    <row r="1159" spans="1:13">
      <c r="A1159" s="1">
        <f>HYPERLINK("https://lsnyc.legalserver.org/matter/dynamic-profile/view/0818005","16-0818005")</f>
        <v>0</v>
      </c>
      <c r="B1159" t="s">
        <v>13</v>
      </c>
      <c r="C1159" t="s">
        <v>631</v>
      </c>
      <c r="D1159" t="s">
        <v>833</v>
      </c>
      <c r="E1159" t="s">
        <v>1453</v>
      </c>
      <c r="F1159" t="s">
        <v>2089</v>
      </c>
      <c r="G1159">
        <v>10452</v>
      </c>
      <c r="K1159">
        <v>1</v>
      </c>
      <c r="L1159">
        <v>0</v>
      </c>
      <c r="M1159">
        <v>157.58</v>
      </c>
    </row>
    <row r="1160" spans="1:13">
      <c r="A1160" s="1">
        <f>HYPERLINK("https://lsnyc.legalserver.org/matter/dynamic-profile/view/0830456","17-0830456")</f>
        <v>0</v>
      </c>
      <c r="B1160" t="s">
        <v>13</v>
      </c>
      <c r="C1160" t="s">
        <v>632</v>
      </c>
      <c r="D1160" t="s">
        <v>745</v>
      </c>
      <c r="E1160" t="s">
        <v>1751</v>
      </c>
      <c r="F1160" t="s">
        <v>2091</v>
      </c>
      <c r="G1160">
        <v>11213</v>
      </c>
      <c r="K1160">
        <v>1</v>
      </c>
      <c r="L1160">
        <v>0</v>
      </c>
      <c r="M1160">
        <v>158.21</v>
      </c>
    </row>
    <row r="1161" spans="1:13">
      <c r="A1161" s="1">
        <f>HYPERLINK("https://lsnyc.legalserver.org/matter/dynamic-profile/view/1845320","17-1845320")</f>
        <v>0</v>
      </c>
      <c r="B1161" t="s">
        <v>13</v>
      </c>
      <c r="C1161" t="s">
        <v>632</v>
      </c>
      <c r="D1161" t="s">
        <v>745</v>
      </c>
      <c r="E1161" t="s">
        <v>1751</v>
      </c>
      <c r="F1161" t="s">
        <v>2091</v>
      </c>
      <c r="G1161">
        <v>11213</v>
      </c>
      <c r="K1161">
        <v>1</v>
      </c>
      <c r="L1161">
        <v>0</v>
      </c>
      <c r="M1161">
        <v>158.21</v>
      </c>
    </row>
    <row r="1162" spans="1:13">
      <c r="A1162" s="1">
        <f>HYPERLINK("https://lsnyc.legalserver.org/matter/dynamic-profile/view/1850956","17-1850956")</f>
        <v>0</v>
      </c>
      <c r="B1162" t="s">
        <v>13</v>
      </c>
      <c r="C1162" t="s">
        <v>633</v>
      </c>
      <c r="D1162" t="s">
        <v>1345</v>
      </c>
      <c r="E1162" t="s">
        <v>2018</v>
      </c>
      <c r="F1162" t="s">
        <v>2091</v>
      </c>
      <c r="G1162">
        <v>11207</v>
      </c>
      <c r="K1162">
        <v>1</v>
      </c>
      <c r="L1162">
        <v>0</v>
      </c>
      <c r="M1162">
        <v>159.2</v>
      </c>
    </row>
    <row r="1163" spans="1:13">
      <c r="A1163" s="1">
        <f>HYPERLINK("https://lsnyc.legalserver.org/matter/dynamic-profile/view/1842921","17-1842921")</f>
        <v>0</v>
      </c>
      <c r="B1163" t="s">
        <v>13</v>
      </c>
      <c r="C1163" t="s">
        <v>183</v>
      </c>
      <c r="D1163" t="s">
        <v>1346</v>
      </c>
      <c r="E1163" t="s">
        <v>1472</v>
      </c>
      <c r="F1163" t="s">
        <v>2090</v>
      </c>
      <c r="G1163">
        <v>10314</v>
      </c>
      <c r="K1163">
        <v>1</v>
      </c>
      <c r="L1163">
        <v>0</v>
      </c>
      <c r="M1163">
        <v>159.2</v>
      </c>
    </row>
    <row r="1164" spans="1:13">
      <c r="A1164" s="1">
        <f>HYPERLINK("https://lsnyc.legalserver.org/matter/dynamic-profile/view/1858010","18-1858010")</f>
        <v>0</v>
      </c>
      <c r="B1164" t="s">
        <v>13</v>
      </c>
      <c r="C1164" t="s">
        <v>634</v>
      </c>
      <c r="D1164" t="s">
        <v>487</v>
      </c>
      <c r="E1164" t="s">
        <v>2019</v>
      </c>
      <c r="F1164" t="s">
        <v>2091</v>
      </c>
      <c r="G1164">
        <v>11223</v>
      </c>
      <c r="K1164">
        <v>2</v>
      </c>
      <c r="L1164">
        <v>0</v>
      </c>
      <c r="M1164">
        <v>159.38</v>
      </c>
    </row>
    <row r="1165" spans="1:13">
      <c r="A1165" s="1">
        <f>HYPERLINK("https://lsnyc.legalserver.org/matter/dynamic-profile/view/1840931","17-1840931")</f>
        <v>0</v>
      </c>
      <c r="B1165" t="s">
        <v>13</v>
      </c>
      <c r="C1165" t="s">
        <v>635</v>
      </c>
      <c r="D1165" t="s">
        <v>1347</v>
      </c>
      <c r="E1165" t="s">
        <v>1675</v>
      </c>
      <c r="F1165" t="s">
        <v>2091</v>
      </c>
      <c r="G1165">
        <v>11212</v>
      </c>
      <c r="K1165">
        <v>2</v>
      </c>
      <c r="L1165">
        <v>0</v>
      </c>
      <c r="M1165">
        <v>160.1</v>
      </c>
    </row>
    <row r="1166" spans="1:13">
      <c r="A1166" s="1">
        <f>HYPERLINK("https://lsnyc.legalserver.org/matter/dynamic-profile/view/1845039","17-1845039")</f>
        <v>0</v>
      </c>
      <c r="B1166" t="s">
        <v>13</v>
      </c>
      <c r="C1166" t="s">
        <v>15</v>
      </c>
      <c r="D1166" t="s">
        <v>867</v>
      </c>
      <c r="E1166" t="s">
        <v>1634</v>
      </c>
      <c r="F1166" t="s">
        <v>2091</v>
      </c>
      <c r="G1166">
        <v>11213</v>
      </c>
      <c r="K1166">
        <v>2</v>
      </c>
      <c r="L1166">
        <v>0</v>
      </c>
      <c r="M1166">
        <v>160.1</v>
      </c>
    </row>
    <row r="1167" spans="1:13">
      <c r="A1167" s="1">
        <f>HYPERLINK("https://lsnyc.legalserver.org/matter/dynamic-profile/view/1847473","17-1847473")</f>
        <v>0</v>
      </c>
      <c r="B1167" t="s">
        <v>13</v>
      </c>
      <c r="C1167" t="s">
        <v>539</v>
      </c>
      <c r="D1167" t="s">
        <v>1348</v>
      </c>
      <c r="E1167" t="s">
        <v>1701</v>
      </c>
      <c r="F1167" t="s">
        <v>2089</v>
      </c>
      <c r="G1167">
        <v>10453</v>
      </c>
      <c r="K1167">
        <v>2</v>
      </c>
      <c r="L1167">
        <v>0</v>
      </c>
      <c r="M1167">
        <v>160.1</v>
      </c>
    </row>
    <row r="1168" spans="1:13">
      <c r="A1168" s="1">
        <f>HYPERLINK("https://lsnyc.legalserver.org/matter/dynamic-profile/view/1864066","18-1864066")</f>
        <v>0</v>
      </c>
      <c r="B1168" t="s">
        <v>13</v>
      </c>
      <c r="C1168" t="s">
        <v>39</v>
      </c>
      <c r="D1168" t="s">
        <v>998</v>
      </c>
      <c r="E1168" t="s">
        <v>1512</v>
      </c>
      <c r="F1168" t="s">
        <v>2093</v>
      </c>
      <c r="G1168">
        <v>10029</v>
      </c>
      <c r="K1168">
        <v>1</v>
      </c>
      <c r="L1168">
        <v>0</v>
      </c>
      <c r="M1168">
        <v>160.23</v>
      </c>
    </row>
    <row r="1169" spans="1:13">
      <c r="A1169" s="1">
        <f>HYPERLINK("https://lsnyc.legalserver.org/matter/dynamic-profile/view/1871298","18-1871298")</f>
        <v>0</v>
      </c>
      <c r="B1169" t="s">
        <v>13</v>
      </c>
      <c r="C1169" t="s">
        <v>127</v>
      </c>
      <c r="D1169" t="s">
        <v>1349</v>
      </c>
      <c r="E1169" t="s">
        <v>1448</v>
      </c>
      <c r="F1169" t="s">
        <v>2091</v>
      </c>
      <c r="G1169">
        <v>11212</v>
      </c>
      <c r="K1169">
        <v>2</v>
      </c>
      <c r="L1169">
        <v>0</v>
      </c>
      <c r="M1169">
        <v>160.39</v>
      </c>
    </row>
    <row r="1170" spans="1:13">
      <c r="A1170" s="1">
        <f>HYPERLINK("https://lsnyc.legalserver.org/matter/dynamic-profile/view/1867073","18-1867073")</f>
        <v>0</v>
      </c>
      <c r="B1170" t="s">
        <v>13</v>
      </c>
      <c r="C1170" t="s">
        <v>127</v>
      </c>
      <c r="D1170" t="s">
        <v>1349</v>
      </c>
      <c r="E1170" t="s">
        <v>1448</v>
      </c>
      <c r="F1170" t="s">
        <v>2091</v>
      </c>
      <c r="G1170">
        <v>11212</v>
      </c>
      <c r="K1170">
        <v>2</v>
      </c>
      <c r="L1170">
        <v>0</v>
      </c>
      <c r="M1170">
        <v>160.39</v>
      </c>
    </row>
    <row r="1171" spans="1:13">
      <c r="A1171" s="1">
        <f>HYPERLINK("https://lsnyc.legalserver.org/matter/dynamic-profile/view/1866236","18-1866236")</f>
        <v>0</v>
      </c>
      <c r="B1171" t="s">
        <v>13</v>
      </c>
      <c r="C1171" t="s">
        <v>98</v>
      </c>
      <c r="D1171" t="s">
        <v>1028</v>
      </c>
      <c r="E1171" t="s">
        <v>1464</v>
      </c>
      <c r="F1171" t="s">
        <v>2094</v>
      </c>
      <c r="G1171">
        <v>11432</v>
      </c>
      <c r="K1171">
        <v>2</v>
      </c>
      <c r="L1171">
        <v>0</v>
      </c>
      <c r="M1171">
        <v>160.39</v>
      </c>
    </row>
    <row r="1172" spans="1:13">
      <c r="A1172" s="1">
        <f>HYPERLINK("https://lsnyc.legalserver.org/matter/dynamic-profile/view/1856732","18-1856732")</f>
        <v>0</v>
      </c>
      <c r="B1172" t="s">
        <v>13</v>
      </c>
      <c r="C1172" t="s">
        <v>636</v>
      </c>
      <c r="D1172" t="s">
        <v>841</v>
      </c>
      <c r="E1172" t="s">
        <v>2020</v>
      </c>
      <c r="F1172" t="s">
        <v>2089</v>
      </c>
      <c r="G1172">
        <v>10452</v>
      </c>
      <c r="K1172">
        <v>2</v>
      </c>
      <c r="L1172">
        <v>0</v>
      </c>
      <c r="M1172">
        <v>161.2</v>
      </c>
    </row>
    <row r="1173" spans="1:13">
      <c r="A1173" s="1">
        <f>HYPERLINK("https://lsnyc.legalserver.org/matter/dynamic-profile/view/0801984","16-0801984")</f>
        <v>0</v>
      </c>
      <c r="B1173" t="s">
        <v>13</v>
      </c>
      <c r="C1173" t="s">
        <v>98</v>
      </c>
      <c r="D1173" t="s">
        <v>1350</v>
      </c>
      <c r="E1173" t="s">
        <v>1637</v>
      </c>
      <c r="F1173" t="s">
        <v>2093</v>
      </c>
      <c r="G1173">
        <v>10034</v>
      </c>
      <c r="K1173">
        <v>1</v>
      </c>
      <c r="L1173">
        <v>0</v>
      </c>
      <c r="M1173">
        <v>161.62</v>
      </c>
    </row>
    <row r="1174" spans="1:13">
      <c r="A1174" s="1">
        <f>HYPERLINK("https://lsnyc.legalserver.org/matter/dynamic-profile/view/0832806","17-0832806")</f>
        <v>0</v>
      </c>
      <c r="B1174" t="s">
        <v>13</v>
      </c>
      <c r="C1174" t="s">
        <v>637</v>
      </c>
      <c r="D1174" t="s">
        <v>574</v>
      </c>
      <c r="E1174" t="s">
        <v>2021</v>
      </c>
      <c r="F1174" t="s">
        <v>2089</v>
      </c>
      <c r="G1174">
        <v>10470</v>
      </c>
      <c r="K1174">
        <v>1</v>
      </c>
      <c r="L1174">
        <v>0</v>
      </c>
      <c r="M1174">
        <v>161.69</v>
      </c>
    </row>
    <row r="1175" spans="1:13">
      <c r="A1175" s="1">
        <f>HYPERLINK("https://lsnyc.legalserver.org/matter/dynamic-profile/view/1836132","17-1836132")</f>
        <v>0</v>
      </c>
      <c r="B1175" t="s">
        <v>13</v>
      </c>
      <c r="C1175" t="s">
        <v>127</v>
      </c>
      <c r="D1175" t="s">
        <v>1349</v>
      </c>
      <c r="E1175" t="s">
        <v>1448</v>
      </c>
      <c r="F1175" t="s">
        <v>2091</v>
      </c>
      <c r="G1175">
        <v>11212</v>
      </c>
      <c r="K1175">
        <v>2</v>
      </c>
      <c r="L1175">
        <v>0</v>
      </c>
      <c r="M1175">
        <v>162.56</v>
      </c>
    </row>
    <row r="1176" spans="1:13">
      <c r="A1176" s="1">
        <f>HYPERLINK("https://lsnyc.legalserver.org/matter/dynamic-profile/view/1838729","17-1838729")</f>
        <v>0</v>
      </c>
      <c r="B1176" t="s">
        <v>13</v>
      </c>
      <c r="C1176" t="s">
        <v>638</v>
      </c>
      <c r="D1176" t="s">
        <v>1351</v>
      </c>
      <c r="E1176" t="s">
        <v>2005</v>
      </c>
      <c r="F1176" t="s">
        <v>2089</v>
      </c>
      <c r="G1176">
        <v>10473</v>
      </c>
      <c r="K1176">
        <v>2</v>
      </c>
      <c r="L1176">
        <v>0</v>
      </c>
      <c r="M1176">
        <v>163.01</v>
      </c>
    </row>
    <row r="1177" spans="1:13">
      <c r="A1177" s="1">
        <f>HYPERLINK("https://lsnyc.legalserver.org/matter/dynamic-profile/view/1856735","18-1856735")</f>
        <v>0</v>
      </c>
      <c r="B1177" t="s">
        <v>13</v>
      </c>
      <c r="C1177" t="s">
        <v>636</v>
      </c>
      <c r="D1177" t="s">
        <v>841</v>
      </c>
      <c r="E1177" t="s">
        <v>2020</v>
      </c>
      <c r="F1177" t="s">
        <v>2089</v>
      </c>
      <c r="G1177">
        <v>10452</v>
      </c>
      <c r="K1177">
        <v>2</v>
      </c>
      <c r="L1177">
        <v>0</v>
      </c>
      <c r="M1177">
        <v>163.38</v>
      </c>
    </row>
    <row r="1178" spans="1:13">
      <c r="A1178" s="1">
        <f>HYPERLINK("https://lsnyc.legalserver.org/matter/dynamic-profile/view/1835319","17-1835319")</f>
        <v>0</v>
      </c>
      <c r="B1178" t="s">
        <v>13</v>
      </c>
      <c r="C1178" t="s">
        <v>108</v>
      </c>
      <c r="D1178" t="s">
        <v>793</v>
      </c>
      <c r="E1178" t="s">
        <v>2022</v>
      </c>
      <c r="F1178" t="s">
        <v>2091</v>
      </c>
      <c r="G1178">
        <v>11220</v>
      </c>
      <c r="K1178">
        <v>2</v>
      </c>
      <c r="L1178">
        <v>0</v>
      </c>
      <c r="M1178">
        <v>163.55</v>
      </c>
    </row>
    <row r="1179" spans="1:13">
      <c r="A1179" s="1">
        <f>HYPERLINK("https://lsnyc.legalserver.org/matter/dynamic-profile/view/0804492","16-0804492")</f>
        <v>0</v>
      </c>
      <c r="B1179" t="s">
        <v>13</v>
      </c>
      <c r="C1179" t="s">
        <v>639</v>
      </c>
      <c r="D1179" t="s">
        <v>1238</v>
      </c>
      <c r="E1179" t="s">
        <v>1462</v>
      </c>
      <c r="F1179" t="s">
        <v>2092</v>
      </c>
      <c r="G1179">
        <v>11354</v>
      </c>
      <c r="K1179">
        <v>3</v>
      </c>
      <c r="L1179">
        <v>0</v>
      </c>
      <c r="M1179">
        <v>163.69</v>
      </c>
    </row>
    <row r="1180" spans="1:13">
      <c r="A1180" s="1">
        <f>HYPERLINK("https://lsnyc.legalserver.org/matter/dynamic-profile/view/1839006","17-1839006")</f>
        <v>0</v>
      </c>
      <c r="B1180" t="s">
        <v>13</v>
      </c>
      <c r="C1180" t="s">
        <v>53</v>
      </c>
      <c r="D1180" t="s">
        <v>1352</v>
      </c>
      <c r="E1180" t="s">
        <v>1787</v>
      </c>
      <c r="F1180" t="s">
        <v>2089</v>
      </c>
      <c r="G1180">
        <v>10473</v>
      </c>
      <c r="K1180">
        <v>1</v>
      </c>
      <c r="L1180">
        <v>0</v>
      </c>
      <c r="M1180">
        <v>163.78</v>
      </c>
    </row>
    <row r="1181" spans="1:13">
      <c r="A1181" s="1">
        <f>HYPERLINK("https://lsnyc.legalserver.org/matter/dynamic-profile/view/0828600","17-0828600")</f>
        <v>0</v>
      </c>
      <c r="B1181" t="s">
        <v>13</v>
      </c>
      <c r="C1181" t="s">
        <v>640</v>
      </c>
      <c r="D1181" t="s">
        <v>1353</v>
      </c>
      <c r="E1181" t="s">
        <v>2023</v>
      </c>
      <c r="F1181" t="s">
        <v>2091</v>
      </c>
      <c r="G1181">
        <v>11233</v>
      </c>
      <c r="K1181">
        <v>2</v>
      </c>
      <c r="L1181">
        <v>0</v>
      </c>
      <c r="M1181">
        <v>164.04</v>
      </c>
    </row>
    <row r="1182" spans="1:13">
      <c r="A1182" s="1">
        <f>HYPERLINK("https://lsnyc.legalserver.org/matter/dynamic-profile/view/1863695","18-1863695")</f>
        <v>0</v>
      </c>
      <c r="B1182" t="s">
        <v>13</v>
      </c>
      <c r="C1182" t="s">
        <v>641</v>
      </c>
      <c r="D1182" t="s">
        <v>1354</v>
      </c>
      <c r="E1182" t="s">
        <v>2024</v>
      </c>
      <c r="F1182" t="s">
        <v>2093</v>
      </c>
      <c r="G1182">
        <v>10029</v>
      </c>
      <c r="K1182">
        <v>1</v>
      </c>
      <c r="L1182">
        <v>0</v>
      </c>
      <c r="M1182">
        <v>164.05</v>
      </c>
    </row>
    <row r="1183" spans="1:13">
      <c r="A1183" s="1">
        <f>HYPERLINK("https://lsnyc.legalserver.org/matter/dynamic-profile/view/1858292","18-1858292")</f>
        <v>0</v>
      </c>
      <c r="B1183" t="s">
        <v>13</v>
      </c>
      <c r="C1183" t="s">
        <v>642</v>
      </c>
      <c r="D1183" t="s">
        <v>739</v>
      </c>
      <c r="E1183" t="s">
        <v>2025</v>
      </c>
      <c r="F1183" t="s">
        <v>2089</v>
      </c>
      <c r="G1183">
        <v>10460</v>
      </c>
      <c r="K1183">
        <v>3</v>
      </c>
      <c r="L1183">
        <v>0</v>
      </c>
      <c r="M1183">
        <v>164.54</v>
      </c>
    </row>
    <row r="1184" spans="1:13">
      <c r="A1184" s="1">
        <f>HYPERLINK("https://lsnyc.legalserver.org/matter/dynamic-profile/view/1854705","17-1854705")</f>
        <v>0</v>
      </c>
      <c r="B1184" t="s">
        <v>13</v>
      </c>
      <c r="C1184" t="s">
        <v>510</v>
      </c>
      <c r="D1184" t="s">
        <v>1355</v>
      </c>
      <c r="E1184" t="s">
        <v>1533</v>
      </c>
      <c r="F1184" t="s">
        <v>2089</v>
      </c>
      <c r="G1184">
        <v>10452</v>
      </c>
      <c r="K1184">
        <v>3</v>
      </c>
      <c r="L1184">
        <v>0</v>
      </c>
      <c r="M1184">
        <v>164.93</v>
      </c>
    </row>
    <row r="1185" spans="1:13">
      <c r="A1185" s="1">
        <f>HYPERLINK("https://lsnyc.legalserver.org/matter/dynamic-profile/view/1857623","18-1857623")</f>
        <v>0</v>
      </c>
      <c r="B1185" t="s">
        <v>13</v>
      </c>
      <c r="C1185" t="s">
        <v>643</v>
      </c>
      <c r="D1185" t="s">
        <v>1356</v>
      </c>
      <c r="E1185" t="s">
        <v>1613</v>
      </c>
      <c r="F1185" t="s">
        <v>2090</v>
      </c>
      <c r="G1185">
        <v>10304</v>
      </c>
      <c r="K1185">
        <v>2</v>
      </c>
      <c r="L1185">
        <v>0</v>
      </c>
      <c r="M1185">
        <v>165.52</v>
      </c>
    </row>
    <row r="1186" spans="1:13">
      <c r="A1186" s="1">
        <f>HYPERLINK("https://lsnyc.legalserver.org/matter/dynamic-profile/view/1839576","17-1839576")</f>
        <v>0</v>
      </c>
      <c r="B1186" t="s">
        <v>13</v>
      </c>
      <c r="C1186" t="s">
        <v>644</v>
      </c>
      <c r="D1186" t="s">
        <v>1357</v>
      </c>
      <c r="E1186" t="s">
        <v>2026</v>
      </c>
      <c r="F1186" t="s">
        <v>2091</v>
      </c>
      <c r="G1186">
        <v>11230</v>
      </c>
      <c r="K1186">
        <v>1</v>
      </c>
      <c r="L1186">
        <v>0</v>
      </c>
      <c r="M1186">
        <v>165.84</v>
      </c>
    </row>
    <row r="1187" spans="1:13">
      <c r="A1187" s="1">
        <f>HYPERLINK("https://lsnyc.legalserver.org/matter/dynamic-profile/view/1847792","17-1847792")</f>
        <v>0</v>
      </c>
      <c r="B1187" t="s">
        <v>13</v>
      </c>
      <c r="C1187" t="s">
        <v>645</v>
      </c>
      <c r="D1187" t="s">
        <v>1358</v>
      </c>
      <c r="E1187" t="s">
        <v>1656</v>
      </c>
      <c r="F1187" t="s">
        <v>2091</v>
      </c>
      <c r="G1187">
        <v>11214</v>
      </c>
      <c r="K1187">
        <v>1</v>
      </c>
      <c r="L1187">
        <v>0</v>
      </c>
      <c r="M1187">
        <v>165.84</v>
      </c>
    </row>
    <row r="1188" spans="1:13">
      <c r="A1188" s="1">
        <f>HYPERLINK("https://lsnyc.legalserver.org/matter/dynamic-profile/view/1848674","17-1848674")</f>
        <v>0</v>
      </c>
      <c r="B1188" t="s">
        <v>13</v>
      </c>
      <c r="C1188" t="s">
        <v>433</v>
      </c>
      <c r="D1188" t="s">
        <v>1109</v>
      </c>
      <c r="E1188" t="s">
        <v>2027</v>
      </c>
      <c r="F1188" t="s">
        <v>2091</v>
      </c>
      <c r="G1188">
        <v>11239</v>
      </c>
      <c r="K1188">
        <v>1</v>
      </c>
      <c r="L1188">
        <v>0</v>
      </c>
      <c r="M1188">
        <v>165.84</v>
      </c>
    </row>
    <row r="1189" spans="1:13">
      <c r="A1189" s="1">
        <f>HYPERLINK("https://lsnyc.legalserver.org/matter/dynamic-profile/view/1851044","17-1851044")</f>
        <v>0</v>
      </c>
      <c r="B1189" t="s">
        <v>13</v>
      </c>
      <c r="C1189" t="s">
        <v>646</v>
      </c>
      <c r="D1189" t="s">
        <v>867</v>
      </c>
      <c r="E1189" t="s">
        <v>2006</v>
      </c>
      <c r="F1189" t="s">
        <v>2093</v>
      </c>
      <c r="G1189">
        <v>10034</v>
      </c>
      <c r="K1189">
        <v>1</v>
      </c>
      <c r="L1189">
        <v>0</v>
      </c>
      <c r="M1189">
        <v>165.84</v>
      </c>
    </row>
    <row r="1190" spans="1:13">
      <c r="A1190" s="1">
        <f>HYPERLINK("https://lsnyc.legalserver.org/matter/dynamic-profile/view/1839253","17-1839253")</f>
        <v>0</v>
      </c>
      <c r="B1190" t="s">
        <v>13</v>
      </c>
      <c r="C1190" t="s">
        <v>647</v>
      </c>
      <c r="D1190" t="s">
        <v>1359</v>
      </c>
      <c r="E1190" t="s">
        <v>2028</v>
      </c>
      <c r="F1190" t="s">
        <v>2093</v>
      </c>
      <c r="G1190">
        <v>10034</v>
      </c>
      <c r="K1190">
        <v>2</v>
      </c>
      <c r="L1190">
        <v>0</v>
      </c>
      <c r="M1190">
        <v>165.89</v>
      </c>
    </row>
    <row r="1191" spans="1:13">
      <c r="A1191" s="1">
        <f>HYPERLINK("https://lsnyc.legalserver.org/matter/dynamic-profile/view/1853766","17-1853766")</f>
        <v>0</v>
      </c>
      <c r="B1191" t="s">
        <v>13</v>
      </c>
      <c r="C1191" t="s">
        <v>648</v>
      </c>
      <c r="D1191" t="s">
        <v>1360</v>
      </c>
      <c r="E1191" t="s">
        <v>2029</v>
      </c>
      <c r="F1191" t="s">
        <v>2089</v>
      </c>
      <c r="G1191">
        <v>10453</v>
      </c>
      <c r="K1191">
        <v>2</v>
      </c>
      <c r="L1191">
        <v>0</v>
      </c>
      <c r="M1191">
        <v>166.26</v>
      </c>
    </row>
    <row r="1192" spans="1:13">
      <c r="A1192" s="1">
        <f>HYPERLINK("https://lsnyc.legalserver.org/matter/dynamic-profile/view/1841251","17-1841251")</f>
        <v>0</v>
      </c>
      <c r="B1192" t="s">
        <v>13</v>
      </c>
      <c r="C1192" t="s">
        <v>649</v>
      </c>
      <c r="D1192" t="s">
        <v>836</v>
      </c>
      <c r="E1192" t="s">
        <v>1453</v>
      </c>
      <c r="F1192" t="s">
        <v>2089</v>
      </c>
      <c r="G1192">
        <v>10452</v>
      </c>
      <c r="K1192">
        <v>2</v>
      </c>
      <c r="L1192">
        <v>0</v>
      </c>
      <c r="M1192">
        <v>166.26</v>
      </c>
    </row>
    <row r="1193" spans="1:13">
      <c r="A1193" s="1">
        <f>HYPERLINK("https://lsnyc.legalserver.org/matter/dynamic-profile/view/1841364","17-1841364")</f>
        <v>0</v>
      </c>
      <c r="B1193" t="s">
        <v>13</v>
      </c>
      <c r="C1193" t="s">
        <v>650</v>
      </c>
      <c r="D1193" t="s">
        <v>1361</v>
      </c>
      <c r="E1193" t="s">
        <v>1997</v>
      </c>
      <c r="F1193" t="s">
        <v>2091</v>
      </c>
      <c r="G1193">
        <v>11226</v>
      </c>
      <c r="K1193">
        <v>2</v>
      </c>
      <c r="L1193">
        <v>0</v>
      </c>
      <c r="M1193">
        <v>166.26</v>
      </c>
    </row>
    <row r="1194" spans="1:13">
      <c r="A1194" s="1">
        <f>HYPERLINK("https://lsnyc.legalserver.org/matter/dynamic-profile/view/1858879","18-1858879")</f>
        <v>0</v>
      </c>
      <c r="B1194" t="s">
        <v>13</v>
      </c>
      <c r="C1194" t="s">
        <v>297</v>
      </c>
      <c r="D1194" t="s">
        <v>1246</v>
      </c>
      <c r="E1194" t="s">
        <v>2030</v>
      </c>
      <c r="F1194" t="s">
        <v>2093</v>
      </c>
      <c r="G1194">
        <v>10034</v>
      </c>
      <c r="K1194">
        <v>2</v>
      </c>
      <c r="L1194">
        <v>0</v>
      </c>
      <c r="M1194">
        <v>166.64</v>
      </c>
    </row>
    <row r="1195" spans="1:13">
      <c r="A1195" s="1">
        <f>HYPERLINK("https://lsnyc.legalserver.org/matter/dynamic-profile/view/0799603","16-0799603")</f>
        <v>0</v>
      </c>
      <c r="B1195" t="s">
        <v>13</v>
      </c>
      <c r="C1195" t="s">
        <v>651</v>
      </c>
      <c r="D1195" t="s">
        <v>1362</v>
      </c>
      <c r="E1195" t="s">
        <v>1449</v>
      </c>
      <c r="F1195" t="s">
        <v>2089</v>
      </c>
      <c r="G1195">
        <v>10451</v>
      </c>
      <c r="K1195">
        <v>3</v>
      </c>
      <c r="L1195">
        <v>0</v>
      </c>
      <c r="M1195">
        <v>166.67</v>
      </c>
    </row>
    <row r="1196" spans="1:13">
      <c r="A1196" s="1">
        <f>HYPERLINK("https://lsnyc.legalserver.org/matter/dynamic-profile/view/1833624","17-1833624")</f>
        <v>0</v>
      </c>
      <c r="B1196" t="s">
        <v>13</v>
      </c>
      <c r="C1196" t="s">
        <v>329</v>
      </c>
      <c r="D1196" t="s">
        <v>1363</v>
      </c>
      <c r="E1196" t="s">
        <v>2031</v>
      </c>
      <c r="F1196" t="s">
        <v>2093</v>
      </c>
      <c r="G1196">
        <v>10035</v>
      </c>
      <c r="K1196">
        <v>1</v>
      </c>
      <c r="L1196">
        <v>0</v>
      </c>
      <c r="M1196">
        <v>166.87</v>
      </c>
    </row>
    <row r="1197" spans="1:13">
      <c r="A1197" s="1">
        <f>HYPERLINK("https://lsnyc.legalserver.org/matter/dynamic-profile/view/0832882","17-0832882")</f>
        <v>0</v>
      </c>
      <c r="B1197" t="s">
        <v>13</v>
      </c>
      <c r="C1197" t="s">
        <v>602</v>
      </c>
      <c r="D1197" t="s">
        <v>833</v>
      </c>
      <c r="E1197" t="s">
        <v>1503</v>
      </c>
      <c r="F1197" t="s">
        <v>2093</v>
      </c>
      <c r="G1197">
        <v>10029</v>
      </c>
      <c r="K1197">
        <v>1</v>
      </c>
      <c r="L1197">
        <v>0</v>
      </c>
      <c r="M1197">
        <v>166.97</v>
      </c>
    </row>
    <row r="1198" spans="1:13">
      <c r="A1198" s="1">
        <f>HYPERLINK("https://lsnyc.legalserver.org/matter/dynamic-profile/view/0799258","16-0799258")</f>
        <v>0</v>
      </c>
      <c r="B1198" t="s">
        <v>13</v>
      </c>
      <c r="C1198" t="s">
        <v>510</v>
      </c>
      <c r="D1198" t="s">
        <v>1355</v>
      </c>
      <c r="E1198" t="s">
        <v>1533</v>
      </c>
      <c r="F1198" t="s">
        <v>2089</v>
      </c>
      <c r="G1198">
        <v>10452</v>
      </c>
      <c r="K1198">
        <v>3</v>
      </c>
      <c r="L1198">
        <v>0</v>
      </c>
      <c r="M1198">
        <v>167.05</v>
      </c>
    </row>
    <row r="1199" spans="1:13">
      <c r="A1199" s="1">
        <f>HYPERLINK("https://lsnyc.legalserver.org/matter/dynamic-profile/view/0816978","16-0816978")</f>
        <v>0</v>
      </c>
      <c r="B1199" t="s">
        <v>13</v>
      </c>
      <c r="C1199" t="s">
        <v>510</v>
      </c>
      <c r="D1199" t="s">
        <v>1355</v>
      </c>
      <c r="E1199" t="s">
        <v>1533</v>
      </c>
      <c r="F1199" t="s">
        <v>2089</v>
      </c>
      <c r="G1199">
        <v>10452</v>
      </c>
      <c r="K1199">
        <v>3</v>
      </c>
      <c r="L1199">
        <v>0</v>
      </c>
      <c r="M1199">
        <v>167.05</v>
      </c>
    </row>
    <row r="1200" spans="1:13">
      <c r="A1200" s="1">
        <f>HYPERLINK("https://lsnyc.legalserver.org/matter/dynamic-profile/view/0822575","16-0822575")</f>
        <v>0</v>
      </c>
      <c r="B1200" t="s">
        <v>13</v>
      </c>
      <c r="C1200" t="s">
        <v>510</v>
      </c>
      <c r="D1200" t="s">
        <v>1355</v>
      </c>
      <c r="E1200" t="s">
        <v>1533</v>
      </c>
      <c r="F1200" t="s">
        <v>2089</v>
      </c>
      <c r="G1200">
        <v>10452</v>
      </c>
      <c r="K1200">
        <v>3</v>
      </c>
      <c r="L1200">
        <v>0</v>
      </c>
      <c r="M1200">
        <v>167.05</v>
      </c>
    </row>
    <row r="1201" spans="1:13">
      <c r="A1201" s="1">
        <f>HYPERLINK("https://lsnyc.legalserver.org/matter/dynamic-profile/view/1854384","17-1854384")</f>
        <v>0</v>
      </c>
      <c r="B1201" t="s">
        <v>13</v>
      </c>
      <c r="C1201" t="s">
        <v>42</v>
      </c>
      <c r="D1201" t="s">
        <v>835</v>
      </c>
      <c r="E1201" t="s">
        <v>2032</v>
      </c>
      <c r="F1201" t="s">
        <v>2093</v>
      </c>
      <c r="G1201">
        <v>10035</v>
      </c>
      <c r="K1201">
        <v>3</v>
      </c>
      <c r="L1201">
        <v>0</v>
      </c>
      <c r="M1201">
        <v>167.4</v>
      </c>
    </row>
    <row r="1202" spans="1:13">
      <c r="A1202" s="1">
        <f>HYPERLINK("https://lsnyc.legalserver.org/matter/dynamic-profile/view/1864843","18-1864843")</f>
        <v>0</v>
      </c>
      <c r="B1202" t="s">
        <v>13</v>
      </c>
      <c r="C1202" t="s">
        <v>148</v>
      </c>
      <c r="D1202" t="s">
        <v>1364</v>
      </c>
      <c r="E1202" t="s">
        <v>1584</v>
      </c>
      <c r="F1202" t="s">
        <v>2091</v>
      </c>
      <c r="G1202">
        <v>11206</v>
      </c>
      <c r="K1202">
        <v>2</v>
      </c>
      <c r="L1202">
        <v>0</v>
      </c>
      <c r="M1202">
        <v>167.68</v>
      </c>
    </row>
    <row r="1203" spans="1:13">
      <c r="A1203" s="1">
        <f>HYPERLINK("https://lsnyc.legalserver.org/matter/dynamic-profile/view/1854343","17-1854343")</f>
        <v>0</v>
      </c>
      <c r="B1203" t="s">
        <v>13</v>
      </c>
      <c r="C1203" t="s">
        <v>652</v>
      </c>
      <c r="D1203" t="s">
        <v>1365</v>
      </c>
      <c r="E1203" t="s">
        <v>1533</v>
      </c>
      <c r="F1203" t="s">
        <v>2089</v>
      </c>
      <c r="G1203">
        <v>10452</v>
      </c>
      <c r="K1203">
        <v>2</v>
      </c>
      <c r="L1203">
        <v>0</v>
      </c>
      <c r="M1203">
        <v>167.88</v>
      </c>
    </row>
    <row r="1204" spans="1:13">
      <c r="A1204" s="1">
        <f>HYPERLINK("https://lsnyc.legalserver.org/matter/dynamic-profile/view/1864594","18-1864594")</f>
        <v>0</v>
      </c>
      <c r="B1204" t="s">
        <v>13</v>
      </c>
      <c r="C1204" t="s">
        <v>653</v>
      </c>
      <c r="D1204" t="s">
        <v>1366</v>
      </c>
      <c r="E1204" t="s">
        <v>1557</v>
      </c>
      <c r="F1204" t="s">
        <v>2091</v>
      </c>
      <c r="G1204">
        <v>11208</v>
      </c>
      <c r="K1204">
        <v>1</v>
      </c>
      <c r="L1204">
        <v>0</v>
      </c>
      <c r="M1204">
        <v>168.04</v>
      </c>
    </row>
    <row r="1205" spans="1:13">
      <c r="A1205" s="1">
        <f>HYPERLINK("https://lsnyc.legalserver.org/matter/dynamic-profile/view/1848780","17-1848780")</f>
        <v>0</v>
      </c>
      <c r="B1205" t="s">
        <v>13</v>
      </c>
      <c r="C1205" t="s">
        <v>98</v>
      </c>
      <c r="D1205" t="s">
        <v>890</v>
      </c>
      <c r="E1205" t="s">
        <v>2033</v>
      </c>
      <c r="F1205" t="s">
        <v>2093</v>
      </c>
      <c r="G1205">
        <v>10029</v>
      </c>
      <c r="K1205">
        <v>1</v>
      </c>
      <c r="L1205">
        <v>0</v>
      </c>
      <c r="M1205">
        <v>168.06</v>
      </c>
    </row>
    <row r="1206" spans="1:13">
      <c r="A1206" s="1">
        <f>HYPERLINK("https://lsnyc.legalserver.org/matter/dynamic-profile/view/0824169","17-0824169")</f>
        <v>0</v>
      </c>
      <c r="B1206" t="s">
        <v>13</v>
      </c>
      <c r="C1206" t="s">
        <v>654</v>
      </c>
      <c r="D1206" t="s">
        <v>814</v>
      </c>
      <c r="E1206" t="s">
        <v>2034</v>
      </c>
      <c r="F1206" t="s">
        <v>2089</v>
      </c>
      <c r="G1206">
        <v>10455</v>
      </c>
      <c r="K1206">
        <v>2</v>
      </c>
      <c r="L1206">
        <v>0</v>
      </c>
      <c r="M1206">
        <v>168.99</v>
      </c>
    </row>
    <row r="1207" spans="1:13">
      <c r="A1207" s="1">
        <f>HYPERLINK("https://lsnyc.legalserver.org/matter/dynamic-profile/view/1870969","18-1870969")</f>
        <v>0</v>
      </c>
      <c r="B1207" t="s">
        <v>13</v>
      </c>
      <c r="C1207" t="s">
        <v>655</v>
      </c>
      <c r="D1207" t="s">
        <v>1367</v>
      </c>
      <c r="E1207" t="s">
        <v>2035</v>
      </c>
      <c r="F1207" t="s">
        <v>2093</v>
      </c>
      <c r="G1207">
        <v>10034</v>
      </c>
      <c r="K1207">
        <v>3</v>
      </c>
      <c r="L1207">
        <v>0</v>
      </c>
      <c r="M1207">
        <v>169.18</v>
      </c>
    </row>
    <row r="1208" spans="1:13">
      <c r="A1208" s="1">
        <f>HYPERLINK("https://lsnyc.legalserver.org/matter/dynamic-profile/view/0797188","16-0797188")</f>
        <v>0</v>
      </c>
      <c r="B1208" t="s">
        <v>13</v>
      </c>
      <c r="C1208" t="s">
        <v>649</v>
      </c>
      <c r="D1208" t="s">
        <v>836</v>
      </c>
      <c r="E1208" t="s">
        <v>1453</v>
      </c>
      <c r="F1208" t="s">
        <v>2089</v>
      </c>
      <c r="G1208">
        <v>10452</v>
      </c>
      <c r="K1208">
        <v>2</v>
      </c>
      <c r="L1208">
        <v>0</v>
      </c>
      <c r="M1208">
        <v>169.49</v>
      </c>
    </row>
    <row r="1209" spans="1:13">
      <c r="A1209" s="1">
        <f>HYPERLINK("https://lsnyc.legalserver.org/matter/dynamic-profile/view/0809926","16-0809926")</f>
        <v>0</v>
      </c>
      <c r="B1209" t="s">
        <v>13</v>
      </c>
      <c r="C1209" t="s">
        <v>656</v>
      </c>
      <c r="D1209" t="s">
        <v>1245</v>
      </c>
      <c r="E1209" t="s">
        <v>2036</v>
      </c>
      <c r="F1209" t="s">
        <v>2093</v>
      </c>
      <c r="G1209">
        <v>10034</v>
      </c>
      <c r="K1209">
        <v>4</v>
      </c>
      <c r="L1209">
        <v>0</v>
      </c>
      <c r="M1209">
        <v>169.55</v>
      </c>
    </row>
    <row r="1210" spans="1:13">
      <c r="A1210" s="1">
        <f>HYPERLINK("https://lsnyc.legalserver.org/matter/dynamic-profile/view/1842917","17-1842917")</f>
        <v>0</v>
      </c>
      <c r="B1210" t="s">
        <v>13</v>
      </c>
      <c r="C1210" t="s">
        <v>28</v>
      </c>
      <c r="D1210" t="s">
        <v>1368</v>
      </c>
      <c r="E1210" t="s">
        <v>1472</v>
      </c>
      <c r="F1210" t="s">
        <v>2090</v>
      </c>
      <c r="G1210">
        <v>10314</v>
      </c>
      <c r="K1210">
        <v>1</v>
      </c>
      <c r="L1210">
        <v>0</v>
      </c>
      <c r="M1210">
        <v>169.55</v>
      </c>
    </row>
    <row r="1211" spans="1:13">
      <c r="A1211" s="1">
        <f>HYPERLINK("https://lsnyc.legalserver.org/matter/dynamic-profile/view/1856189","18-1856189")</f>
        <v>0</v>
      </c>
      <c r="B1211" t="s">
        <v>13</v>
      </c>
      <c r="C1211" t="s">
        <v>166</v>
      </c>
      <c r="D1211" t="s">
        <v>1369</v>
      </c>
      <c r="E1211" t="s">
        <v>2037</v>
      </c>
      <c r="F1211" t="s">
        <v>2093</v>
      </c>
      <c r="G1211">
        <v>10034</v>
      </c>
      <c r="K1211">
        <v>2</v>
      </c>
      <c r="L1211">
        <v>0</v>
      </c>
      <c r="M1211">
        <v>169.67</v>
      </c>
    </row>
    <row r="1212" spans="1:13">
      <c r="A1212" s="1">
        <f>HYPERLINK("https://lsnyc.legalserver.org/matter/dynamic-profile/view/1858739","18-1858739")</f>
        <v>0</v>
      </c>
      <c r="B1212" t="s">
        <v>13</v>
      </c>
      <c r="C1212" t="s">
        <v>368</v>
      </c>
      <c r="D1212" t="s">
        <v>1370</v>
      </c>
      <c r="E1212" t="s">
        <v>1455</v>
      </c>
      <c r="F1212" t="s">
        <v>2091</v>
      </c>
      <c r="G1212">
        <v>11203</v>
      </c>
      <c r="K1212">
        <v>1</v>
      </c>
      <c r="L1212">
        <v>0</v>
      </c>
      <c r="M1212">
        <v>169.75</v>
      </c>
    </row>
    <row r="1213" spans="1:13">
      <c r="A1213" s="1">
        <f>HYPERLINK("https://lsnyc.legalserver.org/matter/dynamic-profile/view/0795319","16-0795319")</f>
        <v>0</v>
      </c>
      <c r="B1213" t="s">
        <v>13</v>
      </c>
      <c r="C1213" t="s">
        <v>657</v>
      </c>
      <c r="D1213" t="s">
        <v>1371</v>
      </c>
      <c r="E1213" t="s">
        <v>2038</v>
      </c>
      <c r="F1213" t="s">
        <v>2093</v>
      </c>
      <c r="G1213">
        <v>10025</v>
      </c>
      <c r="K1213">
        <v>1</v>
      </c>
      <c r="L1213">
        <v>0</v>
      </c>
      <c r="M1213">
        <v>169.92</v>
      </c>
    </row>
    <row r="1214" spans="1:13">
      <c r="A1214" s="1">
        <f>HYPERLINK("https://lsnyc.legalserver.org/matter/dynamic-profile/view/1872758","18-1872758")</f>
        <v>0</v>
      </c>
      <c r="B1214" t="s">
        <v>13</v>
      </c>
      <c r="C1214" t="s">
        <v>506</v>
      </c>
      <c r="D1214" t="s">
        <v>867</v>
      </c>
      <c r="E1214" t="s">
        <v>1776</v>
      </c>
      <c r="F1214" t="s">
        <v>2089</v>
      </c>
      <c r="G1214">
        <v>10452</v>
      </c>
      <c r="K1214">
        <v>2</v>
      </c>
      <c r="L1214">
        <v>0</v>
      </c>
      <c r="M1214">
        <v>170.11</v>
      </c>
    </row>
    <row r="1215" spans="1:13">
      <c r="A1215" s="1">
        <f>HYPERLINK("https://lsnyc.legalserver.org/matter/dynamic-profile/view/1872761","18-1872761")</f>
        <v>0</v>
      </c>
      <c r="B1215" t="s">
        <v>13</v>
      </c>
      <c r="C1215" t="s">
        <v>506</v>
      </c>
      <c r="D1215" t="s">
        <v>867</v>
      </c>
      <c r="E1215" t="s">
        <v>1776</v>
      </c>
      <c r="F1215" t="s">
        <v>2089</v>
      </c>
      <c r="G1215">
        <v>10452</v>
      </c>
      <c r="K1215">
        <v>2</v>
      </c>
      <c r="L1215">
        <v>0</v>
      </c>
      <c r="M1215">
        <v>170.11</v>
      </c>
    </row>
    <row r="1216" spans="1:13">
      <c r="A1216" s="1">
        <f>HYPERLINK("https://lsnyc.legalserver.org/matter/dynamic-profile/view/0799619","16-0799619")</f>
        <v>0</v>
      </c>
      <c r="B1216" t="s">
        <v>13</v>
      </c>
      <c r="C1216" t="s">
        <v>652</v>
      </c>
      <c r="D1216" t="s">
        <v>1365</v>
      </c>
      <c r="E1216" t="s">
        <v>1533</v>
      </c>
      <c r="F1216" t="s">
        <v>2089</v>
      </c>
      <c r="G1216">
        <v>10452</v>
      </c>
      <c r="K1216">
        <v>2</v>
      </c>
      <c r="L1216">
        <v>0</v>
      </c>
      <c r="M1216">
        <v>170.19</v>
      </c>
    </row>
    <row r="1217" spans="1:13">
      <c r="A1217" s="1">
        <f>HYPERLINK("https://lsnyc.legalserver.org/matter/dynamic-profile/view/0816936","16-0816936")</f>
        <v>0</v>
      </c>
      <c r="B1217" t="s">
        <v>13</v>
      </c>
      <c r="C1217" t="s">
        <v>652</v>
      </c>
      <c r="D1217" t="s">
        <v>1365</v>
      </c>
      <c r="E1217" t="s">
        <v>1533</v>
      </c>
      <c r="F1217" t="s">
        <v>2089</v>
      </c>
      <c r="G1217">
        <v>10452</v>
      </c>
      <c r="K1217">
        <v>2</v>
      </c>
      <c r="L1217">
        <v>0</v>
      </c>
      <c r="M1217">
        <v>170.19</v>
      </c>
    </row>
    <row r="1218" spans="1:13">
      <c r="A1218" s="1">
        <f>HYPERLINK("https://lsnyc.legalserver.org/matter/dynamic-profile/view/0822724","16-0822724")</f>
        <v>0</v>
      </c>
      <c r="B1218" t="s">
        <v>13</v>
      </c>
      <c r="C1218" t="s">
        <v>652</v>
      </c>
      <c r="D1218" t="s">
        <v>1365</v>
      </c>
      <c r="E1218" t="s">
        <v>1533</v>
      </c>
      <c r="F1218" t="s">
        <v>2089</v>
      </c>
      <c r="G1218">
        <v>10452</v>
      </c>
      <c r="K1218">
        <v>2</v>
      </c>
      <c r="L1218">
        <v>0</v>
      </c>
      <c r="M1218">
        <v>170.19</v>
      </c>
    </row>
    <row r="1219" spans="1:13">
      <c r="A1219" s="1">
        <f>HYPERLINK("https://lsnyc.legalserver.org/matter/dynamic-profile/view/0809633","16-0809633")</f>
        <v>0</v>
      </c>
      <c r="B1219" t="s">
        <v>13</v>
      </c>
      <c r="C1219" t="s">
        <v>658</v>
      </c>
      <c r="D1219" t="s">
        <v>1372</v>
      </c>
      <c r="E1219" t="s">
        <v>1676</v>
      </c>
      <c r="F1219" t="s">
        <v>2091</v>
      </c>
      <c r="G1219">
        <v>11208</v>
      </c>
      <c r="K1219">
        <v>1</v>
      </c>
      <c r="L1219">
        <v>0</v>
      </c>
      <c r="M1219">
        <v>170.27</v>
      </c>
    </row>
    <row r="1220" spans="1:13">
      <c r="A1220" s="1">
        <f>HYPERLINK("https://lsnyc.legalserver.org/matter/dynamic-profile/view/1857270","18-1857270")</f>
        <v>0</v>
      </c>
      <c r="B1220" t="s">
        <v>13</v>
      </c>
      <c r="C1220" t="s">
        <v>659</v>
      </c>
      <c r="D1220" t="s">
        <v>1373</v>
      </c>
      <c r="E1220" t="s">
        <v>2039</v>
      </c>
      <c r="F1220" t="s">
        <v>2093</v>
      </c>
      <c r="G1220">
        <v>10034</v>
      </c>
      <c r="K1220">
        <v>3</v>
      </c>
      <c r="L1220">
        <v>0</v>
      </c>
      <c r="M1220">
        <v>170.42</v>
      </c>
    </row>
    <row r="1221" spans="1:13">
      <c r="A1221" s="1">
        <f>HYPERLINK("https://lsnyc.legalserver.org/matter/dynamic-profile/view/0799269","16-0799269")</f>
        <v>0</v>
      </c>
      <c r="B1221" t="s">
        <v>13</v>
      </c>
      <c r="C1221" t="s">
        <v>106</v>
      </c>
      <c r="D1221" t="s">
        <v>879</v>
      </c>
      <c r="E1221" t="s">
        <v>1533</v>
      </c>
      <c r="F1221" t="s">
        <v>2089</v>
      </c>
      <c r="G1221">
        <v>10452</v>
      </c>
      <c r="K1221">
        <v>2</v>
      </c>
      <c r="L1221">
        <v>0</v>
      </c>
      <c r="M1221">
        <v>170.94</v>
      </c>
    </row>
    <row r="1222" spans="1:13">
      <c r="A1222" s="1">
        <f>HYPERLINK("https://lsnyc.legalserver.org/matter/dynamic-profile/view/1869379","18-1869379")</f>
        <v>0</v>
      </c>
      <c r="B1222" t="s">
        <v>13</v>
      </c>
      <c r="C1222" t="s">
        <v>660</v>
      </c>
      <c r="D1222" t="s">
        <v>841</v>
      </c>
      <c r="E1222" t="s">
        <v>2040</v>
      </c>
      <c r="F1222" t="s">
        <v>2089</v>
      </c>
      <c r="G1222">
        <v>10452</v>
      </c>
      <c r="K1222">
        <v>1</v>
      </c>
      <c r="L1222">
        <v>0</v>
      </c>
      <c r="M1222">
        <v>171.33</v>
      </c>
    </row>
    <row r="1223" spans="1:13">
      <c r="A1223" s="1">
        <f>HYPERLINK("https://lsnyc.legalserver.org/matter/dynamic-profile/view/1864763","18-1864763")</f>
        <v>0</v>
      </c>
      <c r="B1223" t="s">
        <v>13</v>
      </c>
      <c r="C1223" t="s">
        <v>661</v>
      </c>
      <c r="D1223" t="s">
        <v>1374</v>
      </c>
      <c r="E1223" t="s">
        <v>1896</v>
      </c>
      <c r="F1223" t="s">
        <v>2090</v>
      </c>
      <c r="G1223">
        <v>10301</v>
      </c>
      <c r="K1223">
        <v>1</v>
      </c>
      <c r="L1223">
        <v>0</v>
      </c>
      <c r="M1223">
        <v>171.33</v>
      </c>
    </row>
    <row r="1224" spans="1:13">
      <c r="A1224" s="1">
        <f>HYPERLINK("https://lsnyc.legalserver.org/matter/dynamic-profile/view/1862260","18-1862260")</f>
        <v>0</v>
      </c>
      <c r="B1224" t="s">
        <v>13</v>
      </c>
      <c r="C1224" t="s">
        <v>661</v>
      </c>
      <c r="D1224" t="s">
        <v>1374</v>
      </c>
      <c r="E1224" t="s">
        <v>1896</v>
      </c>
      <c r="F1224" t="s">
        <v>2090</v>
      </c>
      <c r="G1224">
        <v>10301</v>
      </c>
      <c r="K1224">
        <v>1</v>
      </c>
      <c r="L1224">
        <v>0</v>
      </c>
      <c r="M1224">
        <v>171.33</v>
      </c>
    </row>
    <row r="1225" spans="1:13">
      <c r="A1225" s="1">
        <f>HYPERLINK("https://lsnyc.legalserver.org/matter/dynamic-profile/view/1875994","18-1875994")</f>
        <v>0</v>
      </c>
      <c r="B1225" t="s">
        <v>13</v>
      </c>
      <c r="C1225" t="s">
        <v>662</v>
      </c>
      <c r="D1225" t="s">
        <v>1375</v>
      </c>
      <c r="E1225" t="s">
        <v>2041</v>
      </c>
      <c r="F1225" t="s">
        <v>2091</v>
      </c>
      <c r="G1225">
        <v>11221</v>
      </c>
      <c r="K1225">
        <v>1</v>
      </c>
      <c r="L1225">
        <v>0</v>
      </c>
      <c r="M1225">
        <v>171.33</v>
      </c>
    </row>
    <row r="1226" spans="1:13">
      <c r="A1226" s="1">
        <f>HYPERLINK("https://lsnyc.legalserver.org/matter/dynamic-profile/view/1864828","18-1864828")</f>
        <v>0</v>
      </c>
      <c r="B1226" t="s">
        <v>13</v>
      </c>
      <c r="C1226" t="s">
        <v>663</v>
      </c>
      <c r="D1226" t="s">
        <v>1376</v>
      </c>
      <c r="E1226" t="s">
        <v>1547</v>
      </c>
      <c r="F1226" t="s">
        <v>2089</v>
      </c>
      <c r="G1226">
        <v>10452</v>
      </c>
      <c r="K1226">
        <v>1</v>
      </c>
      <c r="L1226">
        <v>0</v>
      </c>
      <c r="M1226">
        <v>171.33</v>
      </c>
    </row>
    <row r="1227" spans="1:13">
      <c r="A1227" s="1">
        <f>HYPERLINK("https://lsnyc.legalserver.org/matter/dynamic-profile/view/1862228","18-1862228")</f>
        <v>0</v>
      </c>
      <c r="B1227" t="s">
        <v>13</v>
      </c>
      <c r="C1227" t="s">
        <v>663</v>
      </c>
      <c r="D1227" t="s">
        <v>1376</v>
      </c>
      <c r="E1227" t="s">
        <v>1547</v>
      </c>
      <c r="F1227" t="s">
        <v>2089</v>
      </c>
      <c r="G1227">
        <v>10452</v>
      </c>
      <c r="K1227">
        <v>1</v>
      </c>
      <c r="L1227">
        <v>0</v>
      </c>
      <c r="M1227">
        <v>171.33</v>
      </c>
    </row>
    <row r="1228" spans="1:13">
      <c r="A1228" s="1">
        <f>HYPERLINK("https://lsnyc.legalserver.org/matter/dynamic-profile/view/1871226","18-1871226")</f>
        <v>0</v>
      </c>
      <c r="B1228" t="s">
        <v>13</v>
      </c>
      <c r="C1228" t="s">
        <v>662</v>
      </c>
      <c r="D1228" t="s">
        <v>1375</v>
      </c>
      <c r="E1228" t="s">
        <v>2041</v>
      </c>
      <c r="F1228" t="s">
        <v>2091</v>
      </c>
      <c r="G1228">
        <v>11221</v>
      </c>
      <c r="K1228">
        <v>1</v>
      </c>
      <c r="L1228">
        <v>0</v>
      </c>
      <c r="M1228">
        <v>171.33</v>
      </c>
    </row>
    <row r="1229" spans="1:13">
      <c r="A1229" s="1">
        <f>HYPERLINK("https://lsnyc.legalserver.org/matter/dynamic-profile/view/1875998","18-1875998")</f>
        <v>0</v>
      </c>
      <c r="B1229" t="s">
        <v>13</v>
      </c>
      <c r="C1229" t="s">
        <v>662</v>
      </c>
      <c r="D1229" t="s">
        <v>1375</v>
      </c>
      <c r="E1229" t="s">
        <v>2041</v>
      </c>
      <c r="F1229" t="s">
        <v>2091</v>
      </c>
      <c r="G1229">
        <v>11221</v>
      </c>
      <c r="K1229">
        <v>1</v>
      </c>
      <c r="L1229">
        <v>0</v>
      </c>
      <c r="M1229">
        <v>171.33</v>
      </c>
    </row>
    <row r="1230" spans="1:13">
      <c r="A1230" s="1">
        <f>HYPERLINK("https://lsnyc.legalserver.org/matter/dynamic-profile/view/1869473","18-1869473")</f>
        <v>0</v>
      </c>
      <c r="B1230" t="s">
        <v>13</v>
      </c>
      <c r="C1230" t="s">
        <v>428</v>
      </c>
      <c r="D1230" t="s">
        <v>1377</v>
      </c>
      <c r="E1230" t="s">
        <v>2042</v>
      </c>
      <c r="F1230" t="s">
        <v>2089</v>
      </c>
      <c r="G1230">
        <v>10459</v>
      </c>
      <c r="K1230">
        <v>1</v>
      </c>
      <c r="L1230">
        <v>0</v>
      </c>
      <c r="M1230">
        <v>171.33</v>
      </c>
    </row>
    <row r="1231" spans="1:13">
      <c r="A1231" s="1">
        <f>HYPERLINK("https://lsnyc.legalserver.org/matter/dynamic-profile/view/1866313","18-1866313")</f>
        <v>0</v>
      </c>
      <c r="B1231" t="s">
        <v>13</v>
      </c>
      <c r="C1231" t="s">
        <v>183</v>
      </c>
      <c r="D1231" t="s">
        <v>1201</v>
      </c>
      <c r="E1231" t="s">
        <v>2043</v>
      </c>
      <c r="F1231" t="s">
        <v>2089</v>
      </c>
      <c r="G1231">
        <v>10475</v>
      </c>
      <c r="K1231">
        <v>2</v>
      </c>
      <c r="L1231">
        <v>0</v>
      </c>
      <c r="M1231">
        <v>171.39</v>
      </c>
    </row>
    <row r="1232" spans="1:13">
      <c r="A1232" s="1">
        <f>HYPERLINK("https://lsnyc.legalserver.org/matter/dynamic-profile/view/1861191","18-1861191")</f>
        <v>0</v>
      </c>
      <c r="B1232" t="s">
        <v>13</v>
      </c>
      <c r="C1232" t="s">
        <v>664</v>
      </c>
      <c r="D1232" t="s">
        <v>1378</v>
      </c>
      <c r="E1232" t="s">
        <v>2044</v>
      </c>
      <c r="F1232" t="s">
        <v>2089</v>
      </c>
      <c r="G1232">
        <v>10453</v>
      </c>
      <c r="K1232">
        <v>1</v>
      </c>
      <c r="L1232">
        <v>0</v>
      </c>
      <c r="M1232">
        <v>171.7</v>
      </c>
    </row>
    <row r="1233" spans="1:13">
      <c r="A1233" s="1">
        <f>HYPERLINK("https://lsnyc.legalserver.org/matter/dynamic-profile/view/0823697","17-0823697")</f>
        <v>0</v>
      </c>
      <c r="B1233" t="s">
        <v>13</v>
      </c>
      <c r="C1233" t="s">
        <v>52</v>
      </c>
      <c r="D1233" t="s">
        <v>96</v>
      </c>
      <c r="E1233" t="s">
        <v>1468</v>
      </c>
      <c r="F1233" t="s">
        <v>2089</v>
      </c>
      <c r="G1233">
        <v>10453</v>
      </c>
      <c r="K1233">
        <v>2</v>
      </c>
      <c r="L1233">
        <v>0</v>
      </c>
      <c r="M1233">
        <v>172.16</v>
      </c>
    </row>
    <row r="1234" spans="1:13">
      <c r="A1234" s="1">
        <f>HYPERLINK("https://lsnyc.legalserver.org/matter/dynamic-profile/view/0832892","17-0832892")</f>
        <v>0</v>
      </c>
      <c r="B1234" t="s">
        <v>13</v>
      </c>
      <c r="C1234" t="s">
        <v>665</v>
      </c>
      <c r="D1234" t="s">
        <v>735</v>
      </c>
      <c r="E1234" t="s">
        <v>2045</v>
      </c>
      <c r="F1234" t="s">
        <v>2093</v>
      </c>
      <c r="G1234">
        <v>10029</v>
      </c>
      <c r="K1234">
        <v>2</v>
      </c>
      <c r="L1234">
        <v>0</v>
      </c>
      <c r="M1234">
        <v>172.41</v>
      </c>
    </row>
    <row r="1235" spans="1:13">
      <c r="A1235" s="1">
        <f>HYPERLINK("https://lsnyc.legalserver.org/matter/dynamic-profile/view/1855071","18-1855071")</f>
        <v>0</v>
      </c>
      <c r="B1235" t="s">
        <v>13</v>
      </c>
      <c r="C1235" t="s">
        <v>666</v>
      </c>
      <c r="D1235" t="s">
        <v>1363</v>
      </c>
      <c r="E1235" t="s">
        <v>2046</v>
      </c>
      <c r="F1235" t="s">
        <v>2090</v>
      </c>
      <c r="G1235">
        <v>10304</v>
      </c>
      <c r="K1235">
        <v>2</v>
      </c>
      <c r="L1235">
        <v>0</v>
      </c>
      <c r="M1235">
        <v>172.41</v>
      </c>
    </row>
    <row r="1236" spans="1:13">
      <c r="A1236" s="1">
        <f>HYPERLINK("https://lsnyc.legalserver.org/matter/dynamic-profile/view/1842731","17-1842731")</f>
        <v>0</v>
      </c>
      <c r="B1236" t="s">
        <v>13</v>
      </c>
      <c r="C1236" t="s">
        <v>341</v>
      </c>
      <c r="D1236" t="s">
        <v>736</v>
      </c>
      <c r="E1236" t="s">
        <v>1848</v>
      </c>
      <c r="F1236" t="s">
        <v>2093</v>
      </c>
      <c r="G1236">
        <v>10034</v>
      </c>
      <c r="K1236">
        <v>1</v>
      </c>
      <c r="L1236">
        <v>0</v>
      </c>
      <c r="M1236">
        <v>172.47</v>
      </c>
    </row>
    <row r="1237" spans="1:13">
      <c r="A1237" s="1">
        <f>HYPERLINK("https://lsnyc.legalserver.org/matter/dynamic-profile/view/1854403","17-1854403")</f>
        <v>0</v>
      </c>
      <c r="B1237" t="s">
        <v>13</v>
      </c>
      <c r="C1237" t="s">
        <v>341</v>
      </c>
      <c r="D1237" t="s">
        <v>736</v>
      </c>
      <c r="E1237" t="s">
        <v>1848</v>
      </c>
      <c r="F1237" t="s">
        <v>2093</v>
      </c>
      <c r="G1237">
        <v>10034</v>
      </c>
      <c r="K1237">
        <v>1</v>
      </c>
      <c r="L1237">
        <v>0</v>
      </c>
      <c r="M1237">
        <v>172.47</v>
      </c>
    </row>
    <row r="1238" spans="1:13">
      <c r="A1238" s="1">
        <f>HYPERLINK("https://lsnyc.legalserver.org/matter/dynamic-profile/view/0829999","17-0829999")</f>
        <v>0</v>
      </c>
      <c r="B1238" t="s">
        <v>13</v>
      </c>
      <c r="C1238" t="s">
        <v>667</v>
      </c>
      <c r="D1238" t="s">
        <v>1379</v>
      </c>
      <c r="E1238" t="s">
        <v>2047</v>
      </c>
      <c r="F1238" t="s">
        <v>2093</v>
      </c>
      <c r="G1238">
        <v>10029</v>
      </c>
      <c r="K1238">
        <v>1</v>
      </c>
      <c r="L1238">
        <v>0</v>
      </c>
      <c r="M1238">
        <v>172.47</v>
      </c>
    </row>
    <row r="1239" spans="1:13">
      <c r="A1239" s="1">
        <f>HYPERLINK("https://lsnyc.legalserver.org/matter/dynamic-profile/view/1843576","17-1843576")</f>
        <v>0</v>
      </c>
      <c r="B1239" t="s">
        <v>13</v>
      </c>
      <c r="C1239" t="s">
        <v>633</v>
      </c>
      <c r="D1239" t="s">
        <v>1345</v>
      </c>
      <c r="E1239" t="s">
        <v>2018</v>
      </c>
      <c r="F1239" t="s">
        <v>2091</v>
      </c>
      <c r="G1239">
        <v>11207</v>
      </c>
      <c r="K1239">
        <v>1</v>
      </c>
      <c r="L1239">
        <v>0</v>
      </c>
      <c r="M1239">
        <v>172.47</v>
      </c>
    </row>
    <row r="1240" spans="1:13">
      <c r="A1240" s="1">
        <f>HYPERLINK("https://lsnyc.legalserver.org/matter/dynamic-profile/view/1852940","17-1852940")</f>
        <v>0</v>
      </c>
      <c r="B1240" t="s">
        <v>13</v>
      </c>
      <c r="C1240" t="s">
        <v>81</v>
      </c>
      <c r="D1240" t="s">
        <v>18</v>
      </c>
      <c r="E1240" t="s">
        <v>1634</v>
      </c>
      <c r="F1240" t="s">
        <v>2091</v>
      </c>
      <c r="G1240">
        <v>11213</v>
      </c>
      <c r="K1240">
        <v>1</v>
      </c>
      <c r="L1240">
        <v>0</v>
      </c>
      <c r="M1240">
        <v>172.47</v>
      </c>
    </row>
    <row r="1241" spans="1:13">
      <c r="A1241" s="1">
        <f>HYPERLINK("https://lsnyc.legalserver.org/matter/dynamic-profile/view/0817758","16-0817758")</f>
        <v>0</v>
      </c>
      <c r="B1241" t="s">
        <v>13</v>
      </c>
      <c r="C1241" t="s">
        <v>668</v>
      </c>
      <c r="D1241" t="s">
        <v>1337</v>
      </c>
      <c r="E1241" t="s">
        <v>1453</v>
      </c>
      <c r="F1241" t="s">
        <v>2089</v>
      </c>
      <c r="G1241">
        <v>10452</v>
      </c>
      <c r="K1241">
        <v>1</v>
      </c>
      <c r="L1241">
        <v>0</v>
      </c>
      <c r="M1241">
        <v>172.75</v>
      </c>
    </row>
    <row r="1242" spans="1:13">
      <c r="A1242" s="1">
        <f>HYPERLINK("https://lsnyc.legalserver.org/matter/dynamic-profile/view/0820614","16-0820614")</f>
        <v>0</v>
      </c>
      <c r="B1242" t="s">
        <v>13</v>
      </c>
      <c r="C1242" t="s">
        <v>668</v>
      </c>
      <c r="D1242" t="s">
        <v>1337</v>
      </c>
      <c r="E1242" t="s">
        <v>1453</v>
      </c>
      <c r="F1242" t="s">
        <v>2089</v>
      </c>
      <c r="G1242">
        <v>10452</v>
      </c>
      <c r="K1242">
        <v>1</v>
      </c>
      <c r="L1242">
        <v>0</v>
      </c>
      <c r="M1242">
        <v>172.75</v>
      </c>
    </row>
    <row r="1243" spans="1:13">
      <c r="A1243" s="1">
        <f>HYPERLINK("https://lsnyc.legalserver.org/matter/dynamic-profile/view/1860636","18-1860636")</f>
        <v>0</v>
      </c>
      <c r="B1243" t="s">
        <v>13</v>
      </c>
      <c r="C1243" t="s">
        <v>669</v>
      </c>
      <c r="D1243" t="s">
        <v>1380</v>
      </c>
      <c r="E1243" t="s">
        <v>1602</v>
      </c>
      <c r="F1243" t="s">
        <v>2093</v>
      </c>
      <c r="G1243">
        <v>10031</v>
      </c>
      <c r="K1243">
        <v>2</v>
      </c>
      <c r="L1243">
        <v>0</v>
      </c>
      <c r="M1243">
        <v>172.99</v>
      </c>
    </row>
    <row r="1244" spans="1:13">
      <c r="A1244" s="1">
        <f>HYPERLINK("https://lsnyc.legalserver.org/matter/dynamic-profile/view/1860280","18-1860280")</f>
        <v>0</v>
      </c>
      <c r="B1244" t="s">
        <v>13</v>
      </c>
      <c r="C1244" t="s">
        <v>183</v>
      </c>
      <c r="D1244" t="s">
        <v>1381</v>
      </c>
      <c r="E1244" t="s">
        <v>2048</v>
      </c>
      <c r="F1244" t="s">
        <v>2091</v>
      </c>
      <c r="G1244">
        <v>11206</v>
      </c>
      <c r="K1244">
        <v>1</v>
      </c>
      <c r="L1244">
        <v>0</v>
      </c>
      <c r="M1244">
        <v>173.13</v>
      </c>
    </row>
    <row r="1245" spans="1:13">
      <c r="A1245" s="1">
        <f>HYPERLINK("https://lsnyc.legalserver.org/matter/dynamic-profile/view/1860281","18-1860281")</f>
        <v>0</v>
      </c>
      <c r="B1245" t="s">
        <v>13</v>
      </c>
      <c r="C1245" t="s">
        <v>183</v>
      </c>
      <c r="D1245" t="s">
        <v>1381</v>
      </c>
      <c r="E1245" t="s">
        <v>2048</v>
      </c>
      <c r="F1245" t="s">
        <v>2091</v>
      </c>
      <c r="G1245">
        <v>11206</v>
      </c>
      <c r="K1245">
        <v>1</v>
      </c>
      <c r="L1245">
        <v>0</v>
      </c>
      <c r="M1245">
        <v>173.13</v>
      </c>
    </row>
    <row r="1246" spans="1:13">
      <c r="A1246" s="1">
        <f>HYPERLINK("https://lsnyc.legalserver.org/matter/dynamic-profile/view/1836155","17-1836155")</f>
        <v>0</v>
      </c>
      <c r="B1246" t="s">
        <v>13</v>
      </c>
      <c r="C1246" t="s">
        <v>284</v>
      </c>
      <c r="D1246" t="s">
        <v>743</v>
      </c>
      <c r="E1246" t="s">
        <v>2049</v>
      </c>
      <c r="F1246" t="s">
        <v>2093</v>
      </c>
      <c r="G1246">
        <v>10040</v>
      </c>
      <c r="K1246">
        <v>3</v>
      </c>
      <c r="L1246">
        <v>0</v>
      </c>
      <c r="M1246">
        <v>173.36</v>
      </c>
    </row>
    <row r="1247" spans="1:13">
      <c r="A1247" s="1">
        <f>HYPERLINK("https://lsnyc.legalserver.org/matter/dynamic-profile/view/1842839","17-1842839")</f>
        <v>0</v>
      </c>
      <c r="B1247" t="s">
        <v>13</v>
      </c>
      <c r="C1247" t="s">
        <v>670</v>
      </c>
      <c r="D1247" t="s">
        <v>1382</v>
      </c>
      <c r="E1247" t="s">
        <v>1472</v>
      </c>
      <c r="F1247" t="s">
        <v>2090</v>
      </c>
      <c r="G1247">
        <v>10314</v>
      </c>
      <c r="K1247">
        <v>1</v>
      </c>
      <c r="L1247">
        <v>0</v>
      </c>
      <c r="M1247">
        <v>173.63</v>
      </c>
    </row>
    <row r="1248" spans="1:13">
      <c r="A1248" s="1">
        <f>HYPERLINK("https://lsnyc.legalserver.org/matter/dynamic-profile/view/1844711","17-1844711")</f>
        <v>0</v>
      </c>
      <c r="B1248" t="s">
        <v>13</v>
      </c>
      <c r="C1248" t="s">
        <v>152</v>
      </c>
      <c r="D1248" t="s">
        <v>1383</v>
      </c>
      <c r="E1248" t="s">
        <v>2050</v>
      </c>
      <c r="F1248" t="s">
        <v>2093</v>
      </c>
      <c r="G1248">
        <v>10034</v>
      </c>
      <c r="K1248">
        <v>3</v>
      </c>
      <c r="L1248">
        <v>0</v>
      </c>
      <c r="M1248">
        <v>173.67</v>
      </c>
    </row>
    <row r="1249" spans="1:13">
      <c r="A1249" s="1">
        <f>HYPERLINK("https://lsnyc.legalserver.org/matter/dynamic-profile/view/1862226","18-1862226")</f>
        <v>0</v>
      </c>
      <c r="B1249" t="s">
        <v>13</v>
      </c>
      <c r="C1249" t="s">
        <v>166</v>
      </c>
      <c r="D1249" t="s">
        <v>1129</v>
      </c>
      <c r="E1249" t="s">
        <v>1688</v>
      </c>
      <c r="F1249" t="s">
        <v>2093</v>
      </c>
      <c r="G1249">
        <v>10034</v>
      </c>
      <c r="K1249">
        <v>2</v>
      </c>
      <c r="L1249">
        <v>0</v>
      </c>
      <c r="M1249">
        <v>173.75</v>
      </c>
    </row>
    <row r="1250" spans="1:13">
      <c r="A1250" s="1">
        <f>HYPERLINK("https://lsnyc.legalserver.org/matter/dynamic-profile/view/1850841","17-1850841")</f>
        <v>0</v>
      </c>
      <c r="B1250" t="s">
        <v>13</v>
      </c>
      <c r="C1250" t="s">
        <v>671</v>
      </c>
      <c r="D1250" t="s">
        <v>1384</v>
      </c>
      <c r="E1250" t="s">
        <v>2051</v>
      </c>
      <c r="F1250" t="s">
        <v>2090</v>
      </c>
      <c r="G1250">
        <v>10304</v>
      </c>
      <c r="K1250">
        <v>3</v>
      </c>
      <c r="L1250">
        <v>0</v>
      </c>
      <c r="M1250">
        <v>174.34</v>
      </c>
    </row>
    <row r="1251" spans="1:13">
      <c r="A1251" s="1">
        <f>HYPERLINK("https://lsnyc.legalserver.org/matter/dynamic-profile/view/1865839","18-1865839")</f>
        <v>0</v>
      </c>
      <c r="B1251" t="s">
        <v>13</v>
      </c>
      <c r="C1251" t="s">
        <v>669</v>
      </c>
      <c r="D1251" t="s">
        <v>1385</v>
      </c>
      <c r="E1251" t="s">
        <v>1602</v>
      </c>
      <c r="F1251" t="s">
        <v>2093</v>
      </c>
      <c r="G1251">
        <v>10031</v>
      </c>
      <c r="K1251">
        <v>2</v>
      </c>
      <c r="L1251">
        <v>0</v>
      </c>
      <c r="M1251">
        <v>174.46</v>
      </c>
    </row>
    <row r="1252" spans="1:13">
      <c r="A1252" s="1">
        <f>HYPERLINK("https://lsnyc.legalserver.org/matter/dynamic-profile/view/1871409","18-1871409")</f>
        <v>0</v>
      </c>
      <c r="B1252" t="s">
        <v>13</v>
      </c>
      <c r="C1252" t="s">
        <v>672</v>
      </c>
      <c r="D1252" t="s">
        <v>1386</v>
      </c>
      <c r="E1252" t="s">
        <v>1448</v>
      </c>
      <c r="F1252" t="s">
        <v>2091</v>
      </c>
      <c r="G1252">
        <v>11212</v>
      </c>
      <c r="K1252">
        <v>2</v>
      </c>
      <c r="L1252">
        <v>0</v>
      </c>
      <c r="M1252">
        <v>174.54</v>
      </c>
    </row>
    <row r="1253" spans="1:13">
      <c r="A1253" s="1">
        <f>HYPERLINK("https://lsnyc.legalserver.org/matter/dynamic-profile/view/1867079","18-1867079")</f>
        <v>0</v>
      </c>
      <c r="B1253" t="s">
        <v>13</v>
      </c>
      <c r="C1253" t="s">
        <v>672</v>
      </c>
      <c r="D1253" t="s">
        <v>1386</v>
      </c>
      <c r="E1253" t="s">
        <v>1448</v>
      </c>
      <c r="F1253" t="s">
        <v>2091</v>
      </c>
      <c r="G1253">
        <v>11212</v>
      </c>
      <c r="K1253">
        <v>2</v>
      </c>
      <c r="L1253">
        <v>0</v>
      </c>
      <c r="M1253">
        <v>174.54</v>
      </c>
    </row>
    <row r="1254" spans="1:13">
      <c r="A1254" s="1">
        <f>HYPERLINK("https://lsnyc.legalserver.org/matter/dynamic-profile/view/1854989","18-1854989")</f>
        <v>0</v>
      </c>
      <c r="B1254" t="s">
        <v>13</v>
      </c>
      <c r="C1254" t="s">
        <v>581</v>
      </c>
      <c r="D1254" t="s">
        <v>1387</v>
      </c>
      <c r="E1254" t="s">
        <v>1533</v>
      </c>
      <c r="F1254" t="s">
        <v>2089</v>
      </c>
      <c r="G1254">
        <v>10452</v>
      </c>
      <c r="K1254">
        <v>2</v>
      </c>
      <c r="L1254">
        <v>0</v>
      </c>
      <c r="M1254">
        <v>174.82</v>
      </c>
    </row>
    <row r="1255" spans="1:13">
      <c r="A1255" s="1">
        <f>HYPERLINK("https://lsnyc.legalserver.org/matter/dynamic-profile/view/1833128","17-1833128")</f>
        <v>0</v>
      </c>
      <c r="B1255" t="s">
        <v>13</v>
      </c>
      <c r="C1255" t="s">
        <v>271</v>
      </c>
      <c r="D1255" t="s">
        <v>854</v>
      </c>
      <c r="E1255" t="s">
        <v>2004</v>
      </c>
      <c r="F1255" t="s">
        <v>2102</v>
      </c>
      <c r="G1255">
        <v>11101</v>
      </c>
      <c r="K1255">
        <v>3</v>
      </c>
      <c r="L1255">
        <v>0</v>
      </c>
      <c r="M1255">
        <v>174.93</v>
      </c>
    </row>
    <row r="1256" spans="1:13">
      <c r="A1256" s="1">
        <f>HYPERLINK("https://lsnyc.legalserver.org/matter/dynamic-profile/view/0826282","17-0826282")</f>
        <v>0</v>
      </c>
      <c r="B1256" t="s">
        <v>13</v>
      </c>
      <c r="C1256" t="s">
        <v>673</v>
      </c>
      <c r="D1256" t="s">
        <v>1388</v>
      </c>
      <c r="E1256" t="s">
        <v>1555</v>
      </c>
      <c r="F1256" t="s">
        <v>2093</v>
      </c>
      <c r="G1256">
        <v>10040</v>
      </c>
      <c r="K1256">
        <v>1</v>
      </c>
      <c r="L1256">
        <v>0</v>
      </c>
      <c r="M1256">
        <v>175.08</v>
      </c>
    </row>
    <row r="1257" spans="1:13">
      <c r="A1257" s="1">
        <f>HYPERLINK("https://lsnyc.legalserver.org/matter/dynamic-profile/view/1864107","18-1864107")</f>
        <v>0</v>
      </c>
      <c r="B1257" t="s">
        <v>13</v>
      </c>
      <c r="C1257" t="s">
        <v>125</v>
      </c>
      <c r="D1257" t="s">
        <v>1011</v>
      </c>
      <c r="E1257" t="s">
        <v>2052</v>
      </c>
      <c r="F1257" t="s">
        <v>2089</v>
      </c>
      <c r="G1257">
        <v>10453</v>
      </c>
      <c r="K1257">
        <v>1</v>
      </c>
      <c r="L1257">
        <v>0</v>
      </c>
      <c r="M1257">
        <v>175.35</v>
      </c>
    </row>
    <row r="1258" spans="1:13">
      <c r="A1258" s="1">
        <f>HYPERLINK("https://lsnyc.legalserver.org/matter/dynamic-profile/view/1867973","18-1867973")</f>
        <v>0</v>
      </c>
      <c r="B1258" t="s">
        <v>13</v>
      </c>
      <c r="C1258" t="s">
        <v>39</v>
      </c>
      <c r="D1258" t="s">
        <v>1389</v>
      </c>
      <c r="E1258" t="s">
        <v>2053</v>
      </c>
      <c r="F1258" t="s">
        <v>2093</v>
      </c>
      <c r="G1258">
        <v>10040</v>
      </c>
      <c r="K1258">
        <v>2</v>
      </c>
      <c r="L1258">
        <v>0</v>
      </c>
      <c r="M1258">
        <v>175.65</v>
      </c>
    </row>
    <row r="1259" spans="1:13">
      <c r="A1259" s="1">
        <f>HYPERLINK("https://lsnyc.legalserver.org/matter/dynamic-profile/view/1860456","18-1860456")</f>
        <v>0</v>
      </c>
      <c r="B1259" t="s">
        <v>13</v>
      </c>
      <c r="C1259" t="s">
        <v>674</v>
      </c>
      <c r="D1259" t="s">
        <v>1028</v>
      </c>
      <c r="E1259" t="s">
        <v>1628</v>
      </c>
      <c r="F1259" t="s">
        <v>2094</v>
      </c>
      <c r="G1259">
        <v>11432</v>
      </c>
      <c r="K1259">
        <v>2</v>
      </c>
      <c r="L1259">
        <v>0</v>
      </c>
      <c r="M1259">
        <v>176.18</v>
      </c>
    </row>
    <row r="1260" spans="1:13">
      <c r="A1260" s="1">
        <f>HYPERLINK("https://lsnyc.legalserver.org/matter/dynamic-profile/view/1860460","18-1860460")</f>
        <v>0</v>
      </c>
      <c r="B1260" t="s">
        <v>13</v>
      </c>
      <c r="C1260" t="s">
        <v>674</v>
      </c>
      <c r="D1260" t="s">
        <v>1028</v>
      </c>
      <c r="E1260" t="s">
        <v>1628</v>
      </c>
      <c r="F1260" t="s">
        <v>2094</v>
      </c>
      <c r="G1260">
        <v>11432</v>
      </c>
      <c r="K1260">
        <v>2</v>
      </c>
      <c r="L1260">
        <v>0</v>
      </c>
      <c r="M1260">
        <v>176.18</v>
      </c>
    </row>
    <row r="1261" spans="1:13">
      <c r="A1261" s="1">
        <f>HYPERLINK("https://lsnyc.legalserver.org/matter/dynamic-profile/view/1841213","17-1841213")</f>
        <v>0</v>
      </c>
      <c r="B1261" t="s">
        <v>13</v>
      </c>
      <c r="C1261" t="s">
        <v>581</v>
      </c>
      <c r="D1261" t="s">
        <v>1387</v>
      </c>
      <c r="E1261" t="s">
        <v>1533</v>
      </c>
      <c r="F1261" t="s">
        <v>2089</v>
      </c>
      <c r="G1261">
        <v>10452</v>
      </c>
      <c r="K1261">
        <v>2</v>
      </c>
      <c r="L1261">
        <v>0</v>
      </c>
      <c r="M1261">
        <v>177.04</v>
      </c>
    </row>
    <row r="1262" spans="1:13">
      <c r="A1262" s="1">
        <f>HYPERLINK("https://lsnyc.legalserver.org/matter/dynamic-profile/view/0799026","16-0799026")</f>
        <v>0</v>
      </c>
      <c r="B1262" t="s">
        <v>13</v>
      </c>
      <c r="C1262" t="s">
        <v>581</v>
      </c>
      <c r="D1262" t="s">
        <v>1387</v>
      </c>
      <c r="E1262" t="s">
        <v>1533</v>
      </c>
      <c r="F1262" t="s">
        <v>2089</v>
      </c>
      <c r="G1262">
        <v>10452</v>
      </c>
      <c r="K1262">
        <v>2</v>
      </c>
      <c r="L1262">
        <v>0</v>
      </c>
      <c r="M1262">
        <v>177.22</v>
      </c>
    </row>
    <row r="1263" spans="1:13">
      <c r="A1263" s="1">
        <f>HYPERLINK("https://lsnyc.legalserver.org/matter/dynamic-profile/view/0816940","16-0816940")</f>
        <v>0</v>
      </c>
      <c r="B1263" t="s">
        <v>13</v>
      </c>
      <c r="C1263" t="s">
        <v>581</v>
      </c>
      <c r="D1263" t="s">
        <v>1387</v>
      </c>
      <c r="E1263" t="s">
        <v>1533</v>
      </c>
      <c r="F1263" t="s">
        <v>2089</v>
      </c>
      <c r="G1263">
        <v>10452</v>
      </c>
      <c r="K1263">
        <v>2</v>
      </c>
      <c r="L1263">
        <v>0</v>
      </c>
      <c r="M1263">
        <v>177.22</v>
      </c>
    </row>
    <row r="1264" spans="1:13">
      <c r="A1264" s="1">
        <f>HYPERLINK("https://lsnyc.legalserver.org/matter/dynamic-profile/view/0822703","16-0822703")</f>
        <v>0</v>
      </c>
      <c r="B1264" t="s">
        <v>13</v>
      </c>
      <c r="C1264" t="s">
        <v>581</v>
      </c>
      <c r="D1264" t="s">
        <v>1387</v>
      </c>
      <c r="E1264" t="s">
        <v>1533</v>
      </c>
      <c r="F1264" t="s">
        <v>2089</v>
      </c>
      <c r="G1264">
        <v>10452</v>
      </c>
      <c r="K1264">
        <v>2</v>
      </c>
      <c r="L1264">
        <v>0</v>
      </c>
      <c r="M1264">
        <v>177.22</v>
      </c>
    </row>
    <row r="1265" spans="1:13">
      <c r="A1265" s="1">
        <f>HYPERLINK("https://lsnyc.legalserver.org/matter/dynamic-profile/view/0816880","16-0816880")</f>
        <v>0</v>
      </c>
      <c r="B1265" t="s">
        <v>13</v>
      </c>
      <c r="C1265" t="s">
        <v>573</v>
      </c>
      <c r="D1265" t="s">
        <v>1126</v>
      </c>
      <c r="E1265" t="s">
        <v>1460</v>
      </c>
      <c r="F1265" t="s">
        <v>2089</v>
      </c>
      <c r="G1265">
        <v>10453</v>
      </c>
      <c r="K1265">
        <v>2</v>
      </c>
      <c r="L1265">
        <v>0</v>
      </c>
      <c r="M1265">
        <v>177.23</v>
      </c>
    </row>
    <row r="1266" spans="1:13">
      <c r="A1266" s="1">
        <f>HYPERLINK("https://lsnyc.legalserver.org/matter/dynamic-profile/view/0822417","16-0822417")</f>
        <v>0</v>
      </c>
      <c r="B1266" t="s">
        <v>13</v>
      </c>
      <c r="C1266" t="s">
        <v>573</v>
      </c>
      <c r="D1266" t="s">
        <v>1126</v>
      </c>
      <c r="E1266" t="s">
        <v>1460</v>
      </c>
      <c r="F1266" t="s">
        <v>2089</v>
      </c>
      <c r="G1266">
        <v>10453</v>
      </c>
      <c r="K1266">
        <v>2</v>
      </c>
      <c r="L1266">
        <v>0</v>
      </c>
      <c r="M1266">
        <v>177.23</v>
      </c>
    </row>
    <row r="1267" spans="1:13">
      <c r="A1267" s="1">
        <f>HYPERLINK("https://lsnyc.legalserver.org/matter/dynamic-profile/view/0810014","16-0810014")</f>
        <v>0</v>
      </c>
      <c r="B1267" t="s">
        <v>13</v>
      </c>
      <c r="C1267" t="s">
        <v>282</v>
      </c>
      <c r="D1267" t="s">
        <v>1390</v>
      </c>
      <c r="E1267" t="s">
        <v>2012</v>
      </c>
      <c r="F1267" t="s">
        <v>2090</v>
      </c>
      <c r="G1267">
        <v>10304</v>
      </c>
      <c r="K1267">
        <v>1</v>
      </c>
      <c r="L1267">
        <v>0</v>
      </c>
      <c r="M1267">
        <v>177.27</v>
      </c>
    </row>
    <row r="1268" spans="1:13">
      <c r="A1268" s="1">
        <f>HYPERLINK("https://lsnyc.legalserver.org/matter/dynamic-profile/view/1837537","17-1837537")</f>
        <v>0</v>
      </c>
      <c r="B1268" t="s">
        <v>13</v>
      </c>
      <c r="C1268" t="s">
        <v>543</v>
      </c>
      <c r="D1268" t="s">
        <v>1391</v>
      </c>
      <c r="E1268" t="s">
        <v>2054</v>
      </c>
      <c r="F1268" t="s">
        <v>2109</v>
      </c>
      <c r="G1268">
        <v>11106</v>
      </c>
      <c r="K1268">
        <v>2</v>
      </c>
      <c r="L1268">
        <v>0</v>
      </c>
      <c r="M1268">
        <v>177.34</v>
      </c>
    </row>
    <row r="1269" spans="1:13">
      <c r="A1269" s="1">
        <f>HYPERLINK("https://lsnyc.legalserver.org/matter/dynamic-profile/view/1843483","17-1843483")</f>
        <v>0</v>
      </c>
      <c r="B1269" t="s">
        <v>13</v>
      </c>
      <c r="C1269" t="s">
        <v>39</v>
      </c>
      <c r="D1269" t="s">
        <v>1389</v>
      </c>
      <c r="E1269" t="s">
        <v>2053</v>
      </c>
      <c r="F1269" t="s">
        <v>2093</v>
      </c>
      <c r="G1269">
        <v>10040</v>
      </c>
      <c r="K1269">
        <v>2</v>
      </c>
      <c r="L1269">
        <v>0</v>
      </c>
      <c r="M1269">
        <v>178.03</v>
      </c>
    </row>
    <row r="1270" spans="1:13">
      <c r="A1270" s="1">
        <f>HYPERLINK("https://lsnyc.legalserver.org/matter/dynamic-profile/view/1866667","18-1866667")</f>
        <v>0</v>
      </c>
      <c r="B1270" t="s">
        <v>13</v>
      </c>
      <c r="C1270" t="s">
        <v>675</v>
      </c>
      <c r="D1270" t="s">
        <v>1392</v>
      </c>
      <c r="E1270" t="s">
        <v>2055</v>
      </c>
      <c r="F1270" t="s">
        <v>2093</v>
      </c>
      <c r="G1270">
        <v>10034</v>
      </c>
      <c r="K1270">
        <v>1</v>
      </c>
      <c r="L1270">
        <v>0</v>
      </c>
      <c r="M1270">
        <v>178.33</v>
      </c>
    </row>
    <row r="1271" spans="1:13">
      <c r="A1271" s="1">
        <f>HYPERLINK("https://lsnyc.legalserver.org/matter/dynamic-profile/view/0825199","17-0825199")</f>
        <v>0</v>
      </c>
      <c r="B1271" t="s">
        <v>13</v>
      </c>
      <c r="C1271" t="s">
        <v>676</v>
      </c>
      <c r="D1271" t="s">
        <v>1393</v>
      </c>
      <c r="E1271" t="s">
        <v>2056</v>
      </c>
      <c r="F1271" t="s">
        <v>2093</v>
      </c>
      <c r="G1271">
        <v>10033</v>
      </c>
      <c r="K1271">
        <v>3</v>
      </c>
      <c r="L1271">
        <v>0</v>
      </c>
      <c r="M1271">
        <v>178.49</v>
      </c>
    </row>
    <row r="1272" spans="1:13">
      <c r="A1272" s="1">
        <f>HYPERLINK("https://lsnyc.legalserver.org/matter/dynamic-profile/view/0804469","16-0804469")</f>
        <v>0</v>
      </c>
      <c r="B1272" t="s">
        <v>13</v>
      </c>
      <c r="C1272" t="s">
        <v>677</v>
      </c>
      <c r="D1272" t="s">
        <v>1394</v>
      </c>
      <c r="E1272" t="s">
        <v>1462</v>
      </c>
      <c r="F1272" t="s">
        <v>2092</v>
      </c>
      <c r="G1272">
        <v>11354</v>
      </c>
      <c r="K1272">
        <v>3</v>
      </c>
      <c r="L1272">
        <v>0</v>
      </c>
      <c r="M1272">
        <v>178.57</v>
      </c>
    </row>
    <row r="1273" spans="1:13">
      <c r="A1273" s="1">
        <f>HYPERLINK("https://lsnyc.legalserver.org/matter/dynamic-profile/view/1840433","17-1840433")</f>
        <v>0</v>
      </c>
      <c r="B1273" t="s">
        <v>13</v>
      </c>
      <c r="C1273" t="s">
        <v>678</v>
      </c>
      <c r="D1273" t="s">
        <v>1395</v>
      </c>
      <c r="E1273" t="s">
        <v>1460</v>
      </c>
      <c r="F1273" t="s">
        <v>2089</v>
      </c>
      <c r="G1273">
        <v>10453</v>
      </c>
      <c r="K1273">
        <v>1</v>
      </c>
      <c r="L1273">
        <v>0</v>
      </c>
      <c r="M1273">
        <v>178.71</v>
      </c>
    </row>
    <row r="1274" spans="1:13">
      <c r="A1274" s="1">
        <f>HYPERLINK("https://lsnyc.legalserver.org/matter/dynamic-profile/view/0809645","16-0809645")</f>
        <v>0</v>
      </c>
      <c r="B1274" t="s">
        <v>13</v>
      </c>
      <c r="C1274" t="s">
        <v>293</v>
      </c>
      <c r="D1274" t="s">
        <v>1396</v>
      </c>
      <c r="E1274" t="s">
        <v>1852</v>
      </c>
      <c r="F1274" t="s">
        <v>2089</v>
      </c>
      <c r="G1274">
        <v>10456</v>
      </c>
      <c r="K1274">
        <v>1</v>
      </c>
      <c r="L1274">
        <v>0</v>
      </c>
      <c r="M1274">
        <v>178.8</v>
      </c>
    </row>
    <row r="1275" spans="1:13">
      <c r="A1275" s="1">
        <f>HYPERLINK("https://lsnyc.legalserver.org/matter/dynamic-profile/view/1865052","18-1865052")</f>
        <v>0</v>
      </c>
      <c r="B1275" t="s">
        <v>13</v>
      </c>
      <c r="C1275" t="s">
        <v>679</v>
      </c>
      <c r="D1275" t="s">
        <v>756</v>
      </c>
      <c r="E1275" t="s">
        <v>2057</v>
      </c>
      <c r="F1275" t="s">
        <v>2089</v>
      </c>
      <c r="G1275">
        <v>10452</v>
      </c>
      <c r="K1275">
        <v>3</v>
      </c>
      <c r="L1275">
        <v>0</v>
      </c>
      <c r="M1275">
        <v>179.08</v>
      </c>
    </row>
    <row r="1276" spans="1:13">
      <c r="A1276" s="1">
        <f>HYPERLINK("https://lsnyc.legalserver.org/matter/dynamic-profile/view/0795243","15-0795243")</f>
        <v>0</v>
      </c>
      <c r="B1276" t="s">
        <v>13</v>
      </c>
      <c r="C1276" t="s">
        <v>677</v>
      </c>
      <c r="D1276" t="s">
        <v>1394</v>
      </c>
      <c r="E1276" t="s">
        <v>1462</v>
      </c>
      <c r="F1276" t="s">
        <v>2092</v>
      </c>
      <c r="G1276">
        <v>11354</v>
      </c>
      <c r="K1276">
        <v>3</v>
      </c>
      <c r="L1276">
        <v>0</v>
      </c>
      <c r="M1276">
        <v>179.19</v>
      </c>
    </row>
    <row r="1277" spans="1:13">
      <c r="A1277" s="1">
        <f>HYPERLINK("https://lsnyc.legalserver.org/matter/dynamic-profile/view/0818066","16-0818066")</f>
        <v>0</v>
      </c>
      <c r="B1277" t="s">
        <v>13</v>
      </c>
      <c r="C1277" t="s">
        <v>346</v>
      </c>
      <c r="D1277" t="s">
        <v>1397</v>
      </c>
      <c r="E1277" t="s">
        <v>1453</v>
      </c>
      <c r="F1277" t="s">
        <v>2089</v>
      </c>
      <c r="G1277">
        <v>10452</v>
      </c>
      <c r="K1277">
        <v>1</v>
      </c>
      <c r="L1277">
        <v>0</v>
      </c>
      <c r="M1277">
        <v>179.29</v>
      </c>
    </row>
    <row r="1278" spans="1:13">
      <c r="A1278" s="1">
        <f>HYPERLINK("https://lsnyc.legalserver.org/matter/dynamic-profile/view/0820608","16-0820608")</f>
        <v>0</v>
      </c>
      <c r="B1278" t="s">
        <v>13</v>
      </c>
      <c r="C1278" t="s">
        <v>346</v>
      </c>
      <c r="D1278" t="s">
        <v>1397</v>
      </c>
      <c r="E1278" t="s">
        <v>1453</v>
      </c>
      <c r="F1278" t="s">
        <v>2089</v>
      </c>
      <c r="G1278">
        <v>10452</v>
      </c>
      <c r="K1278">
        <v>1</v>
      </c>
      <c r="L1278">
        <v>0</v>
      </c>
      <c r="M1278">
        <v>179.29</v>
      </c>
    </row>
    <row r="1279" spans="1:13">
      <c r="A1279" s="1">
        <f>HYPERLINK("https://lsnyc.legalserver.org/matter/dynamic-profile/view/1845294","17-1845294")</f>
        <v>0</v>
      </c>
      <c r="B1279" t="s">
        <v>13</v>
      </c>
      <c r="C1279" t="s">
        <v>680</v>
      </c>
      <c r="D1279" t="s">
        <v>761</v>
      </c>
      <c r="E1279" t="s">
        <v>2058</v>
      </c>
      <c r="F1279" t="s">
        <v>2091</v>
      </c>
      <c r="G1279">
        <v>11226</v>
      </c>
      <c r="K1279">
        <v>1</v>
      </c>
      <c r="L1279">
        <v>0</v>
      </c>
      <c r="M1279">
        <v>179.3</v>
      </c>
    </row>
    <row r="1280" spans="1:13">
      <c r="A1280" s="1">
        <f>HYPERLINK("https://lsnyc.legalserver.org/matter/dynamic-profile/view/1841452","17-1841452")</f>
        <v>0</v>
      </c>
      <c r="B1280" t="s">
        <v>13</v>
      </c>
      <c r="C1280" t="s">
        <v>675</v>
      </c>
      <c r="D1280" t="s">
        <v>1392</v>
      </c>
      <c r="E1280" t="s">
        <v>2055</v>
      </c>
      <c r="F1280" t="s">
        <v>2093</v>
      </c>
      <c r="G1280">
        <v>10034</v>
      </c>
      <c r="K1280">
        <v>1</v>
      </c>
      <c r="L1280">
        <v>0</v>
      </c>
      <c r="M1280">
        <v>179.51</v>
      </c>
    </row>
    <row r="1281" spans="1:13">
      <c r="A1281" s="1">
        <f>HYPERLINK("https://lsnyc.legalserver.org/matter/dynamic-profile/view/1852699","17-1852699")</f>
        <v>0</v>
      </c>
      <c r="B1281" t="s">
        <v>13</v>
      </c>
      <c r="C1281" t="s">
        <v>681</v>
      </c>
      <c r="D1281" t="s">
        <v>1171</v>
      </c>
      <c r="E1281" t="s">
        <v>1528</v>
      </c>
      <c r="F1281" t="s">
        <v>2093</v>
      </c>
      <c r="G1281">
        <v>10034</v>
      </c>
      <c r="K1281">
        <v>1</v>
      </c>
      <c r="L1281">
        <v>0</v>
      </c>
      <c r="M1281">
        <v>181.13</v>
      </c>
    </row>
    <row r="1282" spans="1:13">
      <c r="A1282" s="1">
        <f>HYPERLINK("https://lsnyc.legalserver.org/matter/dynamic-profile/view/1867763","18-1867763")</f>
        <v>0</v>
      </c>
      <c r="B1282" t="s">
        <v>13</v>
      </c>
      <c r="C1282" t="s">
        <v>682</v>
      </c>
      <c r="D1282" t="s">
        <v>1398</v>
      </c>
      <c r="E1282" t="s">
        <v>1802</v>
      </c>
      <c r="F1282" t="s">
        <v>2089</v>
      </c>
      <c r="G1282">
        <v>10463</v>
      </c>
      <c r="K1282">
        <v>1</v>
      </c>
      <c r="L1282">
        <v>0</v>
      </c>
      <c r="M1282">
        <v>181.22</v>
      </c>
    </row>
    <row r="1283" spans="1:13">
      <c r="A1283" s="1">
        <f>HYPERLINK("https://lsnyc.legalserver.org/matter/dynamic-profile/view/0820130","16-0820130")</f>
        <v>0</v>
      </c>
      <c r="B1283" t="s">
        <v>13</v>
      </c>
      <c r="C1283" t="s">
        <v>678</v>
      </c>
      <c r="D1283" t="s">
        <v>1395</v>
      </c>
      <c r="E1283" t="s">
        <v>1460</v>
      </c>
      <c r="F1283" t="s">
        <v>2089</v>
      </c>
      <c r="G1283">
        <v>10453</v>
      </c>
      <c r="K1283">
        <v>1</v>
      </c>
      <c r="L1283">
        <v>0</v>
      </c>
      <c r="M1283">
        <v>181.41</v>
      </c>
    </row>
    <row r="1284" spans="1:13">
      <c r="A1284" s="1">
        <f>HYPERLINK("https://lsnyc.legalserver.org/matter/dynamic-profile/view/0820131","16-0820131")</f>
        <v>0</v>
      </c>
      <c r="B1284" t="s">
        <v>13</v>
      </c>
      <c r="C1284" t="s">
        <v>678</v>
      </c>
      <c r="D1284" t="s">
        <v>1395</v>
      </c>
      <c r="E1284" t="s">
        <v>1460</v>
      </c>
      <c r="F1284" t="s">
        <v>2089</v>
      </c>
      <c r="G1284">
        <v>10453</v>
      </c>
      <c r="K1284">
        <v>1</v>
      </c>
      <c r="L1284">
        <v>0</v>
      </c>
      <c r="M1284">
        <v>181.41</v>
      </c>
    </row>
    <row r="1285" spans="1:13">
      <c r="A1285" s="1">
        <f>HYPERLINK("https://lsnyc.legalserver.org/matter/dynamic-profile/view/0817722","16-0817722")</f>
        <v>0</v>
      </c>
      <c r="B1285" t="s">
        <v>13</v>
      </c>
      <c r="C1285" t="s">
        <v>52</v>
      </c>
      <c r="D1285" t="s">
        <v>869</v>
      </c>
      <c r="E1285" t="s">
        <v>1453</v>
      </c>
      <c r="F1285" t="s">
        <v>2089</v>
      </c>
      <c r="G1285">
        <v>10452</v>
      </c>
      <c r="K1285">
        <v>2</v>
      </c>
      <c r="L1285">
        <v>0</v>
      </c>
      <c r="M1285">
        <v>181.45</v>
      </c>
    </row>
    <row r="1286" spans="1:13">
      <c r="A1286" s="1">
        <f>HYPERLINK("https://lsnyc.legalserver.org/matter/dynamic-profile/view/1845584","17-1845584")</f>
        <v>0</v>
      </c>
      <c r="B1286" t="s">
        <v>13</v>
      </c>
      <c r="C1286" t="s">
        <v>683</v>
      </c>
      <c r="D1286" t="s">
        <v>1399</v>
      </c>
      <c r="E1286" t="s">
        <v>2059</v>
      </c>
      <c r="F1286" t="s">
        <v>2091</v>
      </c>
      <c r="G1286">
        <v>11210</v>
      </c>
      <c r="K1286">
        <v>2</v>
      </c>
      <c r="L1286">
        <v>0</v>
      </c>
      <c r="M1286">
        <v>182.02</v>
      </c>
    </row>
    <row r="1287" spans="1:13">
      <c r="A1287" s="1">
        <f>HYPERLINK("https://lsnyc.legalserver.org/matter/dynamic-profile/view/1861657","18-1861657")</f>
        <v>0</v>
      </c>
      <c r="B1287" t="s">
        <v>13</v>
      </c>
      <c r="C1287" t="s">
        <v>684</v>
      </c>
      <c r="D1287" t="s">
        <v>1400</v>
      </c>
      <c r="E1287" t="s">
        <v>1464</v>
      </c>
      <c r="F1287" t="s">
        <v>2094</v>
      </c>
      <c r="G1287">
        <v>11432</v>
      </c>
      <c r="K1287">
        <v>2</v>
      </c>
      <c r="L1287">
        <v>0</v>
      </c>
      <c r="M1287">
        <v>182.26</v>
      </c>
    </row>
    <row r="1288" spans="1:13">
      <c r="A1288" s="1">
        <f>HYPERLINK("https://lsnyc.legalserver.org/matter/dynamic-profile/view/1861662","18-1861662")</f>
        <v>0</v>
      </c>
      <c r="B1288" t="s">
        <v>13</v>
      </c>
      <c r="C1288" t="s">
        <v>684</v>
      </c>
      <c r="D1288" t="s">
        <v>1400</v>
      </c>
      <c r="E1288" t="s">
        <v>1464</v>
      </c>
      <c r="F1288" t="s">
        <v>2094</v>
      </c>
      <c r="G1288">
        <v>11432</v>
      </c>
      <c r="K1288">
        <v>2</v>
      </c>
      <c r="L1288">
        <v>0</v>
      </c>
      <c r="M1288">
        <v>182.26</v>
      </c>
    </row>
    <row r="1289" spans="1:13">
      <c r="A1289" s="1">
        <f>HYPERLINK("https://lsnyc.legalserver.org/matter/dynamic-profile/view/1854856","17-1854856")</f>
        <v>0</v>
      </c>
      <c r="B1289" t="s">
        <v>13</v>
      </c>
      <c r="C1289" t="s">
        <v>275</v>
      </c>
      <c r="D1289" t="s">
        <v>743</v>
      </c>
      <c r="E1289" t="s">
        <v>1941</v>
      </c>
      <c r="F1289" t="s">
        <v>2091</v>
      </c>
      <c r="G1289">
        <v>11208</v>
      </c>
      <c r="K1289">
        <v>1</v>
      </c>
      <c r="L1289">
        <v>0</v>
      </c>
      <c r="M1289">
        <v>182.42</v>
      </c>
    </row>
    <row r="1290" spans="1:13">
      <c r="A1290" s="1">
        <f>HYPERLINK("https://lsnyc.legalserver.org/matter/dynamic-profile/view/1843578","17-1843578")</f>
        <v>0</v>
      </c>
      <c r="B1290" t="s">
        <v>13</v>
      </c>
      <c r="C1290" t="s">
        <v>438</v>
      </c>
      <c r="D1290" t="s">
        <v>1401</v>
      </c>
      <c r="E1290" t="s">
        <v>2060</v>
      </c>
      <c r="F1290" t="s">
        <v>2093</v>
      </c>
      <c r="G1290">
        <v>10029</v>
      </c>
      <c r="K1290">
        <v>1</v>
      </c>
      <c r="L1290">
        <v>0</v>
      </c>
      <c r="M1290">
        <v>182.42</v>
      </c>
    </row>
    <row r="1291" spans="1:13">
      <c r="A1291" s="1">
        <f>HYPERLINK("https://lsnyc.legalserver.org/matter/dynamic-profile/view/1843111","17-1843111")</f>
        <v>0</v>
      </c>
      <c r="B1291" t="s">
        <v>13</v>
      </c>
      <c r="C1291" t="s">
        <v>685</v>
      </c>
      <c r="D1291" t="s">
        <v>867</v>
      </c>
      <c r="E1291" t="s">
        <v>2061</v>
      </c>
      <c r="F1291" t="s">
        <v>2093</v>
      </c>
      <c r="G1291">
        <v>10033</v>
      </c>
      <c r="K1291">
        <v>1</v>
      </c>
      <c r="L1291">
        <v>0</v>
      </c>
      <c r="M1291">
        <v>182.59</v>
      </c>
    </row>
    <row r="1292" spans="1:13">
      <c r="A1292" s="1">
        <f>HYPERLINK("https://lsnyc.legalserver.org/matter/dynamic-profile/view/0829442","17-0829442")</f>
        <v>0</v>
      </c>
      <c r="B1292" t="s">
        <v>13</v>
      </c>
      <c r="C1292" t="s">
        <v>98</v>
      </c>
      <c r="D1292" t="s">
        <v>778</v>
      </c>
      <c r="E1292" t="s">
        <v>2062</v>
      </c>
      <c r="F1292" t="s">
        <v>2089</v>
      </c>
      <c r="G1292">
        <v>10453</v>
      </c>
      <c r="K1292">
        <v>3</v>
      </c>
      <c r="L1292">
        <v>0</v>
      </c>
      <c r="M1292">
        <v>182.87</v>
      </c>
    </row>
    <row r="1293" spans="1:13">
      <c r="A1293" s="1">
        <f>HYPERLINK("https://lsnyc.legalserver.org/matter/dynamic-profile/view/1851061","17-1851061")</f>
        <v>0</v>
      </c>
      <c r="B1293" t="s">
        <v>13</v>
      </c>
      <c r="C1293" t="s">
        <v>35</v>
      </c>
      <c r="D1293" t="s">
        <v>1402</v>
      </c>
      <c r="E1293" t="s">
        <v>2063</v>
      </c>
      <c r="F1293" t="s">
        <v>2091</v>
      </c>
      <c r="G1293">
        <v>11236</v>
      </c>
      <c r="K1293">
        <v>1</v>
      </c>
      <c r="L1293">
        <v>0</v>
      </c>
      <c r="M1293">
        <v>182.99</v>
      </c>
    </row>
    <row r="1294" spans="1:13">
      <c r="A1294" s="1">
        <f>HYPERLINK("https://lsnyc.legalserver.org/matter/dynamic-profile/view/1852311","17-1852311")</f>
        <v>0</v>
      </c>
      <c r="B1294" t="s">
        <v>13</v>
      </c>
      <c r="C1294" t="s">
        <v>428</v>
      </c>
      <c r="D1294" t="s">
        <v>1403</v>
      </c>
      <c r="E1294" t="s">
        <v>2064</v>
      </c>
      <c r="F1294" t="s">
        <v>2091</v>
      </c>
      <c r="G1294">
        <v>11206</v>
      </c>
      <c r="K1294">
        <v>1</v>
      </c>
      <c r="L1294">
        <v>0</v>
      </c>
      <c r="M1294">
        <v>183.25</v>
      </c>
    </row>
    <row r="1295" spans="1:13">
      <c r="A1295" s="1">
        <f>HYPERLINK("https://lsnyc.legalserver.org/matter/dynamic-profile/view/1849596","17-1849596")</f>
        <v>0</v>
      </c>
      <c r="B1295" t="s">
        <v>13</v>
      </c>
      <c r="C1295" t="s">
        <v>167</v>
      </c>
      <c r="D1295" t="s">
        <v>1404</v>
      </c>
      <c r="E1295" t="s">
        <v>2065</v>
      </c>
      <c r="F1295" t="s">
        <v>2089</v>
      </c>
      <c r="G1295">
        <v>10467</v>
      </c>
      <c r="K1295">
        <v>1</v>
      </c>
      <c r="L1295">
        <v>0</v>
      </c>
      <c r="M1295">
        <v>183.68</v>
      </c>
    </row>
    <row r="1296" spans="1:13">
      <c r="A1296" s="1">
        <f>HYPERLINK("https://lsnyc.legalserver.org/matter/dynamic-profile/view/0818075","16-0818075")</f>
        <v>0</v>
      </c>
      <c r="B1296" t="s">
        <v>13</v>
      </c>
      <c r="C1296" t="s">
        <v>98</v>
      </c>
      <c r="D1296" t="s">
        <v>778</v>
      </c>
      <c r="E1296" t="s">
        <v>1453</v>
      </c>
      <c r="F1296" t="s">
        <v>2089</v>
      </c>
      <c r="G1296">
        <v>10452</v>
      </c>
      <c r="K1296">
        <v>1</v>
      </c>
      <c r="L1296">
        <v>0</v>
      </c>
      <c r="M1296">
        <v>183.84</v>
      </c>
    </row>
    <row r="1297" spans="1:13">
      <c r="A1297" s="1">
        <f>HYPERLINK("https://lsnyc.legalserver.org/matter/dynamic-profile/view/0820647","16-0820647")</f>
        <v>0</v>
      </c>
      <c r="B1297" t="s">
        <v>13</v>
      </c>
      <c r="C1297" t="s">
        <v>98</v>
      </c>
      <c r="D1297" t="s">
        <v>778</v>
      </c>
      <c r="E1297" t="s">
        <v>1453</v>
      </c>
      <c r="F1297" t="s">
        <v>2089</v>
      </c>
      <c r="G1297">
        <v>10452</v>
      </c>
      <c r="K1297">
        <v>1</v>
      </c>
      <c r="L1297">
        <v>0</v>
      </c>
      <c r="M1297">
        <v>183.84</v>
      </c>
    </row>
    <row r="1298" spans="1:13">
      <c r="A1298" s="1">
        <f>HYPERLINK("https://lsnyc.legalserver.org/matter/dynamic-profile/view/1842911","17-1842911")</f>
        <v>0</v>
      </c>
      <c r="B1298" t="s">
        <v>13</v>
      </c>
      <c r="C1298" t="s">
        <v>686</v>
      </c>
      <c r="D1298" t="s">
        <v>1405</v>
      </c>
      <c r="E1298" t="s">
        <v>1472</v>
      </c>
      <c r="F1298" t="s">
        <v>2090</v>
      </c>
      <c r="G1298">
        <v>10314</v>
      </c>
      <c r="K1298">
        <v>1</v>
      </c>
      <c r="L1298">
        <v>0</v>
      </c>
      <c r="M1298">
        <v>184.08</v>
      </c>
    </row>
    <row r="1299" spans="1:13">
      <c r="A1299" s="1">
        <f>HYPERLINK("https://lsnyc.legalserver.org/matter/dynamic-profile/view/1840698","17-1840698")</f>
        <v>0</v>
      </c>
      <c r="B1299" t="s">
        <v>13</v>
      </c>
      <c r="C1299" t="s">
        <v>687</v>
      </c>
      <c r="D1299" t="s">
        <v>1406</v>
      </c>
      <c r="E1299" t="s">
        <v>1460</v>
      </c>
      <c r="F1299" t="s">
        <v>2089</v>
      </c>
      <c r="G1299">
        <v>10453</v>
      </c>
      <c r="K1299">
        <v>1</v>
      </c>
      <c r="L1299">
        <v>0</v>
      </c>
      <c r="M1299">
        <v>184.11</v>
      </c>
    </row>
    <row r="1300" spans="1:13">
      <c r="A1300" s="1">
        <f>HYPERLINK("https://lsnyc.legalserver.org/matter/dynamic-profile/view/1844286","17-1844286")</f>
        <v>0</v>
      </c>
      <c r="B1300" t="s">
        <v>13</v>
      </c>
      <c r="C1300" t="s">
        <v>56</v>
      </c>
      <c r="D1300" t="s">
        <v>1234</v>
      </c>
      <c r="E1300" t="s">
        <v>2066</v>
      </c>
      <c r="F1300" t="s">
        <v>2093</v>
      </c>
      <c r="G1300">
        <v>10029</v>
      </c>
      <c r="K1300">
        <v>2</v>
      </c>
      <c r="L1300">
        <v>0</v>
      </c>
      <c r="M1300">
        <v>184.11</v>
      </c>
    </row>
    <row r="1301" spans="1:13">
      <c r="A1301" s="1">
        <f>HYPERLINK("https://lsnyc.legalserver.org/matter/dynamic-profile/view/1846482","17-1846482")</f>
        <v>0</v>
      </c>
      <c r="B1301" t="s">
        <v>13</v>
      </c>
      <c r="C1301" t="s">
        <v>688</v>
      </c>
      <c r="D1301" t="s">
        <v>1407</v>
      </c>
      <c r="E1301" t="s">
        <v>2067</v>
      </c>
      <c r="F1301" t="s">
        <v>2091</v>
      </c>
      <c r="G1301">
        <v>11212</v>
      </c>
      <c r="K1301">
        <v>2</v>
      </c>
      <c r="L1301">
        <v>0</v>
      </c>
      <c r="M1301">
        <v>184.73</v>
      </c>
    </row>
    <row r="1302" spans="1:13">
      <c r="A1302" s="1">
        <f>HYPERLINK("https://lsnyc.legalserver.org/matter/dynamic-profile/view/1855161","18-1855161")</f>
        <v>0</v>
      </c>
      <c r="B1302" t="s">
        <v>13</v>
      </c>
      <c r="C1302" t="s">
        <v>681</v>
      </c>
      <c r="D1302" t="s">
        <v>893</v>
      </c>
      <c r="E1302" t="s">
        <v>1802</v>
      </c>
      <c r="F1302" t="s">
        <v>2089</v>
      </c>
      <c r="G1302">
        <v>10463</v>
      </c>
      <c r="K1302">
        <v>2</v>
      </c>
      <c r="L1302">
        <v>0</v>
      </c>
      <c r="M1302">
        <v>184.73</v>
      </c>
    </row>
    <row r="1303" spans="1:13">
      <c r="A1303" s="1">
        <f>HYPERLINK("https://lsnyc.legalserver.org/matter/dynamic-profile/view/0830902","17-0830902")</f>
        <v>0</v>
      </c>
      <c r="B1303" t="s">
        <v>13</v>
      </c>
      <c r="C1303" t="s">
        <v>689</v>
      </c>
      <c r="D1303" t="s">
        <v>756</v>
      </c>
      <c r="E1303" t="s">
        <v>2068</v>
      </c>
      <c r="F1303" t="s">
        <v>2091</v>
      </c>
      <c r="G1303">
        <v>11216</v>
      </c>
      <c r="K1303">
        <v>2</v>
      </c>
      <c r="L1303">
        <v>0</v>
      </c>
      <c r="M1303">
        <v>184.73</v>
      </c>
    </row>
    <row r="1304" spans="1:13">
      <c r="A1304" s="1">
        <f>HYPERLINK("https://lsnyc.legalserver.org/matter/dynamic-profile/view/1854894","17-1854894")</f>
        <v>0</v>
      </c>
      <c r="B1304" t="s">
        <v>13</v>
      </c>
      <c r="C1304" t="s">
        <v>447</v>
      </c>
      <c r="D1304" t="s">
        <v>793</v>
      </c>
      <c r="E1304" t="s">
        <v>1533</v>
      </c>
      <c r="F1304" t="s">
        <v>2089</v>
      </c>
      <c r="G1304">
        <v>10452</v>
      </c>
      <c r="K1304">
        <v>2</v>
      </c>
      <c r="L1304">
        <v>0</v>
      </c>
      <c r="M1304">
        <v>184.73</v>
      </c>
    </row>
    <row r="1305" spans="1:13">
      <c r="A1305" s="1">
        <f>HYPERLINK("https://lsnyc.legalserver.org/matter/dynamic-profile/view/1855272","18-1855272")</f>
        <v>0</v>
      </c>
      <c r="B1305" t="s">
        <v>13</v>
      </c>
      <c r="C1305" t="s">
        <v>447</v>
      </c>
      <c r="D1305" t="s">
        <v>793</v>
      </c>
      <c r="E1305" t="s">
        <v>1533</v>
      </c>
      <c r="F1305" t="s">
        <v>2089</v>
      </c>
      <c r="G1305">
        <v>10452</v>
      </c>
      <c r="K1305">
        <v>2</v>
      </c>
      <c r="L1305">
        <v>0</v>
      </c>
      <c r="M1305">
        <v>184.73</v>
      </c>
    </row>
    <row r="1306" spans="1:13">
      <c r="A1306" s="1">
        <f>HYPERLINK("https://lsnyc.legalserver.org/matter/dynamic-profile/view/1850609","17-1850609")</f>
        <v>0</v>
      </c>
      <c r="B1306" t="s">
        <v>13</v>
      </c>
      <c r="C1306" t="s">
        <v>690</v>
      </c>
      <c r="D1306" t="s">
        <v>1408</v>
      </c>
      <c r="E1306" t="s">
        <v>1472</v>
      </c>
      <c r="F1306" t="s">
        <v>2090</v>
      </c>
      <c r="G1306">
        <v>10314</v>
      </c>
      <c r="K1306">
        <v>2</v>
      </c>
      <c r="L1306">
        <v>0</v>
      </c>
      <c r="M1306">
        <v>184.73</v>
      </c>
    </row>
    <row r="1307" spans="1:13">
      <c r="A1307" s="1">
        <f>HYPERLINK("https://lsnyc.legalserver.org/matter/dynamic-profile/view/0829098","17-0829098")</f>
        <v>0</v>
      </c>
      <c r="B1307" t="s">
        <v>13</v>
      </c>
      <c r="C1307" t="s">
        <v>39</v>
      </c>
      <c r="D1307" t="s">
        <v>304</v>
      </c>
      <c r="E1307" t="s">
        <v>2069</v>
      </c>
      <c r="F1307" t="s">
        <v>2091</v>
      </c>
      <c r="G1307">
        <v>11238</v>
      </c>
      <c r="K1307">
        <v>2</v>
      </c>
      <c r="L1307">
        <v>0</v>
      </c>
      <c r="M1307">
        <v>184.73</v>
      </c>
    </row>
    <row r="1308" spans="1:13">
      <c r="A1308" s="1">
        <f>HYPERLINK("https://lsnyc.legalserver.org/matter/dynamic-profile/view/1850608","17-1850608")</f>
        <v>0</v>
      </c>
      <c r="B1308" t="s">
        <v>13</v>
      </c>
      <c r="C1308" t="s">
        <v>690</v>
      </c>
      <c r="D1308" t="s">
        <v>1408</v>
      </c>
      <c r="E1308" t="s">
        <v>1472</v>
      </c>
      <c r="F1308" t="s">
        <v>2090</v>
      </c>
      <c r="G1308">
        <v>10314</v>
      </c>
      <c r="K1308">
        <v>2</v>
      </c>
      <c r="L1308">
        <v>0</v>
      </c>
      <c r="M1308">
        <v>184.73</v>
      </c>
    </row>
    <row r="1309" spans="1:13">
      <c r="A1309" s="1">
        <f>HYPERLINK("https://lsnyc.legalserver.org/matter/dynamic-profile/view/0830688","17-0830688")</f>
        <v>0</v>
      </c>
      <c r="B1309" t="s">
        <v>13</v>
      </c>
      <c r="C1309" t="s">
        <v>113</v>
      </c>
      <c r="D1309" t="s">
        <v>1409</v>
      </c>
      <c r="E1309" t="s">
        <v>2070</v>
      </c>
      <c r="F1309" t="s">
        <v>2091</v>
      </c>
      <c r="G1309">
        <v>11209</v>
      </c>
      <c r="K1309">
        <v>1</v>
      </c>
      <c r="L1309">
        <v>0</v>
      </c>
      <c r="M1309">
        <v>185.41</v>
      </c>
    </row>
    <row r="1310" spans="1:13">
      <c r="A1310" s="1">
        <f>HYPERLINK("https://lsnyc.legalserver.org/matter/dynamic-profile/view/0827330","17-0827330")</f>
        <v>0</v>
      </c>
      <c r="B1310" t="s">
        <v>13</v>
      </c>
      <c r="C1310" t="s">
        <v>691</v>
      </c>
      <c r="D1310" t="s">
        <v>735</v>
      </c>
      <c r="E1310" t="s">
        <v>1824</v>
      </c>
      <c r="F1310" t="s">
        <v>2093</v>
      </c>
      <c r="G1310">
        <v>10034</v>
      </c>
      <c r="K1310">
        <v>1</v>
      </c>
      <c r="L1310">
        <v>0</v>
      </c>
      <c r="M1310">
        <v>185.57</v>
      </c>
    </row>
    <row r="1311" spans="1:13">
      <c r="A1311" s="1">
        <f>HYPERLINK("https://lsnyc.legalserver.org/matter/dynamic-profile/view/0819396","16-0819396")</f>
        <v>0</v>
      </c>
      <c r="B1311" t="s">
        <v>13</v>
      </c>
      <c r="C1311" t="s">
        <v>687</v>
      </c>
      <c r="D1311" t="s">
        <v>1406</v>
      </c>
      <c r="E1311" t="s">
        <v>1460</v>
      </c>
      <c r="F1311" t="s">
        <v>2089</v>
      </c>
      <c r="G1311">
        <v>10453</v>
      </c>
      <c r="K1311">
        <v>1</v>
      </c>
      <c r="L1311">
        <v>0</v>
      </c>
      <c r="M1311">
        <v>186.9</v>
      </c>
    </row>
    <row r="1312" spans="1:13">
      <c r="A1312" s="1">
        <f>HYPERLINK("https://lsnyc.legalserver.org/matter/dynamic-profile/view/0819394","16-0819394")</f>
        <v>0</v>
      </c>
      <c r="B1312" t="s">
        <v>13</v>
      </c>
      <c r="C1312" t="s">
        <v>687</v>
      </c>
      <c r="D1312" t="s">
        <v>1406</v>
      </c>
      <c r="E1312" t="s">
        <v>1460</v>
      </c>
      <c r="F1312" t="s">
        <v>2089</v>
      </c>
      <c r="G1312">
        <v>10453</v>
      </c>
      <c r="K1312">
        <v>1</v>
      </c>
      <c r="L1312">
        <v>0</v>
      </c>
      <c r="M1312">
        <v>186.9</v>
      </c>
    </row>
    <row r="1313" spans="1:13">
      <c r="A1313" s="1">
        <f>HYPERLINK("https://lsnyc.legalserver.org/matter/dynamic-profile/view/1862673","18-1862673")</f>
        <v>0</v>
      </c>
      <c r="B1313" t="s">
        <v>13</v>
      </c>
      <c r="C1313" t="s">
        <v>692</v>
      </c>
      <c r="D1313" t="s">
        <v>1410</v>
      </c>
      <c r="E1313" t="s">
        <v>1627</v>
      </c>
      <c r="F1313" t="s">
        <v>2089</v>
      </c>
      <c r="G1313">
        <v>10452</v>
      </c>
      <c r="K1313">
        <v>4</v>
      </c>
      <c r="L1313">
        <v>0</v>
      </c>
      <c r="M1313">
        <v>187.25</v>
      </c>
    </row>
    <row r="1314" spans="1:13">
      <c r="A1314" s="1">
        <f>HYPERLINK("https://lsnyc.legalserver.org/matter/dynamic-profile/view/1871414","18-1871414")</f>
        <v>0</v>
      </c>
      <c r="B1314" t="s">
        <v>13</v>
      </c>
      <c r="C1314" t="s">
        <v>403</v>
      </c>
      <c r="D1314" t="s">
        <v>1222</v>
      </c>
      <c r="E1314" t="s">
        <v>1448</v>
      </c>
      <c r="F1314" t="s">
        <v>2091</v>
      </c>
      <c r="G1314">
        <v>11212</v>
      </c>
      <c r="K1314">
        <v>3</v>
      </c>
      <c r="L1314">
        <v>0</v>
      </c>
      <c r="M1314">
        <v>187.68</v>
      </c>
    </row>
    <row r="1315" spans="1:13">
      <c r="A1315" s="1">
        <f>HYPERLINK("https://lsnyc.legalserver.org/matter/dynamic-profile/view/1866497","18-1866497")</f>
        <v>0</v>
      </c>
      <c r="B1315" t="s">
        <v>13</v>
      </c>
      <c r="C1315" t="s">
        <v>693</v>
      </c>
      <c r="D1315" t="s">
        <v>16</v>
      </c>
      <c r="E1315" t="s">
        <v>2071</v>
      </c>
      <c r="F1315" t="s">
        <v>2091</v>
      </c>
      <c r="G1315">
        <v>11203</v>
      </c>
      <c r="K1315">
        <v>1</v>
      </c>
      <c r="L1315">
        <v>0</v>
      </c>
      <c r="M1315">
        <v>187.81</v>
      </c>
    </row>
    <row r="1316" spans="1:13">
      <c r="A1316" s="1">
        <f>HYPERLINK("https://lsnyc.legalserver.org/matter/dynamic-profile/view/1869885","18-1869885")</f>
        <v>0</v>
      </c>
      <c r="B1316" t="s">
        <v>13</v>
      </c>
      <c r="C1316" t="s">
        <v>62</v>
      </c>
      <c r="D1316" t="s">
        <v>1411</v>
      </c>
      <c r="E1316" t="s">
        <v>2072</v>
      </c>
      <c r="F1316" t="s">
        <v>2091</v>
      </c>
      <c r="G1316">
        <v>11223</v>
      </c>
      <c r="K1316">
        <v>1</v>
      </c>
      <c r="L1316">
        <v>0</v>
      </c>
      <c r="M1316">
        <v>187.81</v>
      </c>
    </row>
    <row r="1317" spans="1:13">
      <c r="A1317" s="1">
        <f>HYPERLINK("https://lsnyc.legalserver.org/matter/dynamic-profile/view/0831319","17-0831319")</f>
        <v>0</v>
      </c>
      <c r="B1317" t="s">
        <v>13</v>
      </c>
      <c r="C1317" t="s">
        <v>475</v>
      </c>
      <c r="D1317" t="s">
        <v>705</v>
      </c>
      <c r="E1317" t="s">
        <v>1642</v>
      </c>
      <c r="F1317" t="s">
        <v>2091</v>
      </c>
      <c r="G1317">
        <v>11212</v>
      </c>
      <c r="K1317">
        <v>1</v>
      </c>
      <c r="L1317">
        <v>0</v>
      </c>
      <c r="M1317">
        <v>187.96</v>
      </c>
    </row>
    <row r="1318" spans="1:13">
      <c r="A1318" s="1">
        <f>HYPERLINK("https://lsnyc.legalserver.org/matter/dynamic-profile/view/0823093","16-0823093")</f>
        <v>0</v>
      </c>
      <c r="B1318" t="s">
        <v>13</v>
      </c>
      <c r="C1318" t="s">
        <v>33</v>
      </c>
      <c r="D1318" t="s">
        <v>1412</v>
      </c>
      <c r="E1318" t="s">
        <v>1609</v>
      </c>
      <c r="F1318" t="s">
        <v>2093</v>
      </c>
      <c r="G1318">
        <v>10034</v>
      </c>
      <c r="K1318">
        <v>3</v>
      </c>
      <c r="L1318">
        <v>0</v>
      </c>
      <c r="M1318">
        <v>188.89</v>
      </c>
    </row>
    <row r="1319" spans="1:13">
      <c r="A1319" s="1">
        <f>HYPERLINK("https://lsnyc.legalserver.org/matter/dynamic-profile/view/1865908","18-1865908")</f>
        <v>0</v>
      </c>
      <c r="B1319" t="s">
        <v>13</v>
      </c>
      <c r="C1319" t="s">
        <v>694</v>
      </c>
      <c r="D1319" t="s">
        <v>1413</v>
      </c>
      <c r="E1319" t="s">
        <v>2073</v>
      </c>
      <c r="F1319" t="s">
        <v>2091</v>
      </c>
      <c r="G1319">
        <v>11213</v>
      </c>
      <c r="K1319">
        <v>1</v>
      </c>
      <c r="L1319">
        <v>0</v>
      </c>
      <c r="M1319">
        <v>189.46</v>
      </c>
    </row>
    <row r="1320" spans="1:13">
      <c r="A1320" s="1">
        <f>HYPERLINK("https://lsnyc.legalserver.org/matter/dynamic-profile/view/1841119","17-1841119")</f>
        <v>0</v>
      </c>
      <c r="B1320" t="s">
        <v>13</v>
      </c>
      <c r="C1320" t="s">
        <v>695</v>
      </c>
      <c r="D1320" t="s">
        <v>1414</v>
      </c>
      <c r="E1320" t="s">
        <v>1470</v>
      </c>
      <c r="F1320" t="s">
        <v>2089</v>
      </c>
      <c r="G1320">
        <v>10452</v>
      </c>
      <c r="K1320">
        <v>2</v>
      </c>
      <c r="L1320">
        <v>0</v>
      </c>
      <c r="M1320">
        <v>189.48</v>
      </c>
    </row>
    <row r="1321" spans="1:13">
      <c r="A1321" s="1">
        <f>HYPERLINK("https://lsnyc.legalserver.org/matter/dynamic-profile/view/1857418","18-1857418")</f>
        <v>0</v>
      </c>
      <c r="B1321" t="s">
        <v>13</v>
      </c>
      <c r="C1321" t="s">
        <v>695</v>
      </c>
      <c r="D1321" t="s">
        <v>1414</v>
      </c>
      <c r="E1321" t="s">
        <v>1470</v>
      </c>
      <c r="F1321" t="s">
        <v>2089</v>
      </c>
      <c r="G1321">
        <v>10452</v>
      </c>
      <c r="K1321">
        <v>2</v>
      </c>
      <c r="L1321">
        <v>0</v>
      </c>
      <c r="M1321">
        <v>189.48</v>
      </c>
    </row>
    <row r="1322" spans="1:13">
      <c r="A1322" s="1">
        <f>HYPERLINK("https://lsnyc.legalserver.org/matter/dynamic-profile/view/1843398","17-1843398")</f>
        <v>0</v>
      </c>
      <c r="B1322" t="s">
        <v>13</v>
      </c>
      <c r="C1322" t="s">
        <v>191</v>
      </c>
      <c r="D1322" t="s">
        <v>804</v>
      </c>
      <c r="E1322" t="s">
        <v>1967</v>
      </c>
      <c r="F1322" t="s">
        <v>2089</v>
      </c>
      <c r="G1322">
        <v>10451</v>
      </c>
      <c r="K1322">
        <v>1</v>
      </c>
      <c r="L1322">
        <v>0</v>
      </c>
      <c r="M1322">
        <v>189.52</v>
      </c>
    </row>
    <row r="1323" spans="1:13">
      <c r="A1323" s="1">
        <f>HYPERLINK("https://lsnyc.legalserver.org/matter/dynamic-profile/view/1860438","18-1860438")</f>
        <v>0</v>
      </c>
      <c r="B1323" t="s">
        <v>13</v>
      </c>
      <c r="C1323" t="s">
        <v>76</v>
      </c>
      <c r="D1323" t="s">
        <v>1415</v>
      </c>
      <c r="E1323" t="s">
        <v>1464</v>
      </c>
      <c r="F1323" t="s">
        <v>2094</v>
      </c>
      <c r="G1323">
        <v>11432</v>
      </c>
      <c r="K1323">
        <v>2</v>
      </c>
      <c r="L1323">
        <v>0</v>
      </c>
      <c r="M1323">
        <v>189.55</v>
      </c>
    </row>
    <row r="1324" spans="1:13">
      <c r="A1324" s="1">
        <f>HYPERLINK("https://lsnyc.legalserver.org/matter/dynamic-profile/view/1860441","18-1860441")</f>
        <v>0</v>
      </c>
      <c r="B1324" t="s">
        <v>13</v>
      </c>
      <c r="C1324" t="s">
        <v>76</v>
      </c>
      <c r="D1324" t="s">
        <v>1415</v>
      </c>
      <c r="E1324" t="s">
        <v>1464</v>
      </c>
      <c r="F1324" t="s">
        <v>2094</v>
      </c>
      <c r="G1324">
        <v>11432</v>
      </c>
      <c r="K1324">
        <v>2</v>
      </c>
      <c r="L1324">
        <v>0</v>
      </c>
      <c r="M1324">
        <v>189.55</v>
      </c>
    </row>
    <row r="1325" spans="1:13">
      <c r="A1325" s="1">
        <f>HYPERLINK("https://lsnyc.legalserver.org/matter/dynamic-profile/view/1864089","18-1864089")</f>
        <v>0</v>
      </c>
      <c r="B1325" t="s">
        <v>13</v>
      </c>
      <c r="C1325" t="s">
        <v>696</v>
      </c>
      <c r="D1325" t="s">
        <v>731</v>
      </c>
      <c r="E1325" t="s">
        <v>1858</v>
      </c>
      <c r="F1325" t="s">
        <v>2093</v>
      </c>
      <c r="G1325">
        <v>10040</v>
      </c>
      <c r="K1325">
        <v>3</v>
      </c>
      <c r="L1325">
        <v>0</v>
      </c>
      <c r="M1325">
        <v>189.76</v>
      </c>
    </row>
    <row r="1326" spans="1:13">
      <c r="A1326" s="1">
        <f>HYPERLINK("https://lsnyc.legalserver.org/matter/dynamic-profile/view/1856168","18-1856168")</f>
        <v>0</v>
      </c>
      <c r="B1326" t="s">
        <v>13</v>
      </c>
      <c r="C1326" t="s">
        <v>382</v>
      </c>
      <c r="D1326" t="s">
        <v>1416</v>
      </c>
      <c r="E1326" t="s">
        <v>2074</v>
      </c>
      <c r="F1326" t="s">
        <v>2090</v>
      </c>
      <c r="G1326">
        <v>10301</v>
      </c>
      <c r="K1326">
        <v>2</v>
      </c>
      <c r="L1326">
        <v>0</v>
      </c>
      <c r="M1326">
        <v>189.84</v>
      </c>
    </row>
    <row r="1327" spans="1:13">
      <c r="A1327" s="1">
        <f>HYPERLINK("https://lsnyc.legalserver.org/matter/dynamic-profile/view/1861209","18-1861209")</f>
        <v>0</v>
      </c>
      <c r="B1327" t="s">
        <v>13</v>
      </c>
      <c r="C1327" t="s">
        <v>190</v>
      </c>
      <c r="D1327" t="s">
        <v>1417</v>
      </c>
      <c r="E1327" t="s">
        <v>2075</v>
      </c>
      <c r="F1327" t="s">
        <v>2090</v>
      </c>
      <c r="G1327">
        <v>10304</v>
      </c>
      <c r="K1327">
        <v>3</v>
      </c>
      <c r="L1327">
        <v>0</v>
      </c>
      <c r="M1327">
        <v>190.45</v>
      </c>
    </row>
    <row r="1328" spans="1:13">
      <c r="A1328" s="1">
        <f>HYPERLINK("https://lsnyc.legalserver.org/matter/dynamic-profile/view/1860444","18-1860444")</f>
        <v>0</v>
      </c>
      <c r="B1328" t="s">
        <v>13</v>
      </c>
      <c r="C1328" t="s">
        <v>697</v>
      </c>
      <c r="D1328" t="s">
        <v>64</v>
      </c>
      <c r="E1328" t="s">
        <v>2076</v>
      </c>
      <c r="F1328" t="s">
        <v>2091</v>
      </c>
      <c r="G1328">
        <v>11226</v>
      </c>
      <c r="K1328">
        <v>1</v>
      </c>
      <c r="L1328">
        <v>0</v>
      </c>
      <c r="M1328">
        <v>190.71</v>
      </c>
    </row>
    <row r="1329" spans="1:13">
      <c r="A1329" s="1">
        <f>HYPERLINK("https://lsnyc.legalserver.org/matter/dynamic-profile/view/0830085","17-0830085")</f>
        <v>0</v>
      </c>
      <c r="B1329" t="s">
        <v>13</v>
      </c>
      <c r="C1329" t="s">
        <v>403</v>
      </c>
      <c r="D1329" t="s">
        <v>1222</v>
      </c>
      <c r="E1329" t="s">
        <v>1448</v>
      </c>
      <c r="F1329" t="s">
        <v>2091</v>
      </c>
      <c r="G1329">
        <v>11212</v>
      </c>
      <c r="K1329">
        <v>3</v>
      </c>
      <c r="L1329">
        <v>0</v>
      </c>
      <c r="M1329">
        <v>190.99</v>
      </c>
    </row>
    <row r="1330" spans="1:13">
      <c r="A1330" s="1">
        <f>HYPERLINK("https://lsnyc.legalserver.org/matter/dynamic-profile/view/1854121","17-1854121")</f>
        <v>0</v>
      </c>
      <c r="B1330" t="s">
        <v>13</v>
      </c>
      <c r="C1330" t="s">
        <v>698</v>
      </c>
      <c r="D1330" t="s">
        <v>1418</v>
      </c>
      <c r="E1330" t="s">
        <v>1697</v>
      </c>
      <c r="F1330" t="s">
        <v>2089</v>
      </c>
      <c r="G1330">
        <v>10456</v>
      </c>
      <c r="K1330">
        <v>3</v>
      </c>
      <c r="L1330">
        <v>0</v>
      </c>
      <c r="M1330">
        <v>190.99</v>
      </c>
    </row>
    <row r="1331" spans="1:13">
      <c r="A1331" s="1">
        <f>HYPERLINK("https://lsnyc.legalserver.org/matter/dynamic-profile/view/1845898","17-1845898")</f>
        <v>0</v>
      </c>
      <c r="B1331" t="s">
        <v>13</v>
      </c>
      <c r="C1331" t="s">
        <v>91</v>
      </c>
      <c r="D1331" t="s">
        <v>743</v>
      </c>
      <c r="E1331" t="s">
        <v>2077</v>
      </c>
      <c r="F1331" t="s">
        <v>2092</v>
      </c>
      <c r="G1331">
        <v>11354</v>
      </c>
      <c r="K1331">
        <v>1</v>
      </c>
      <c r="L1331">
        <v>0</v>
      </c>
      <c r="M1331">
        <v>191.24</v>
      </c>
    </row>
    <row r="1332" spans="1:13">
      <c r="A1332" s="1">
        <f>HYPERLINK("https://lsnyc.legalserver.org/matter/dynamic-profile/view/1850505","17-1850505")</f>
        <v>0</v>
      </c>
      <c r="B1332" t="s">
        <v>13</v>
      </c>
      <c r="C1332" t="s">
        <v>384</v>
      </c>
      <c r="D1332" t="s">
        <v>793</v>
      </c>
      <c r="E1332" t="s">
        <v>1609</v>
      </c>
      <c r="F1332" t="s">
        <v>2093</v>
      </c>
      <c r="G1332">
        <v>10034</v>
      </c>
      <c r="K1332">
        <v>2</v>
      </c>
      <c r="L1332">
        <v>0</v>
      </c>
      <c r="M1332">
        <v>192.12</v>
      </c>
    </row>
    <row r="1333" spans="1:13">
      <c r="A1333" s="1">
        <f>HYPERLINK("https://lsnyc.legalserver.org/matter/dynamic-profile/view/1838974","17-1838974")</f>
        <v>0</v>
      </c>
      <c r="B1333" t="s">
        <v>13</v>
      </c>
      <c r="C1333" t="s">
        <v>699</v>
      </c>
      <c r="D1333" t="s">
        <v>1419</v>
      </c>
      <c r="E1333" t="s">
        <v>1787</v>
      </c>
      <c r="F1333" t="s">
        <v>2089</v>
      </c>
      <c r="G1333">
        <v>10473</v>
      </c>
      <c r="K1333">
        <v>2</v>
      </c>
      <c r="L1333">
        <v>0</v>
      </c>
      <c r="M1333">
        <v>192.12</v>
      </c>
    </row>
    <row r="1334" spans="1:13">
      <c r="A1334" s="1">
        <f>HYPERLINK("https://lsnyc.legalserver.org/matter/dynamic-profile/view/1893067","19-1893067")</f>
        <v>0</v>
      </c>
      <c r="B1334" t="s">
        <v>13</v>
      </c>
      <c r="C1334" t="s">
        <v>700</v>
      </c>
      <c r="D1334" t="s">
        <v>941</v>
      </c>
      <c r="E1334" t="s">
        <v>2078</v>
      </c>
      <c r="F1334" t="s">
        <v>2093</v>
      </c>
      <c r="G1334">
        <v>10029</v>
      </c>
      <c r="K1334">
        <v>1</v>
      </c>
      <c r="L1334">
        <v>0</v>
      </c>
      <c r="M1334">
        <v>192.15</v>
      </c>
    </row>
    <row r="1335" spans="1:13">
      <c r="A1335" s="1">
        <f>HYPERLINK("https://lsnyc.legalserver.org/matter/dynamic-profile/view/0812664","16-0812664")</f>
        <v>0</v>
      </c>
      <c r="B1335" t="s">
        <v>13</v>
      </c>
      <c r="C1335" t="s">
        <v>690</v>
      </c>
      <c r="D1335" t="s">
        <v>1420</v>
      </c>
      <c r="E1335" t="s">
        <v>1735</v>
      </c>
      <c r="F1335" t="s">
        <v>2089</v>
      </c>
      <c r="G1335">
        <v>10452</v>
      </c>
      <c r="K1335">
        <v>2</v>
      </c>
      <c r="L1335">
        <v>0</v>
      </c>
      <c r="M1335">
        <v>192.26</v>
      </c>
    </row>
    <row r="1336" spans="1:13">
      <c r="A1336" s="1">
        <f>HYPERLINK("https://lsnyc.legalserver.org/matter/dynamic-profile/view/0804230","16-0804230")</f>
        <v>0</v>
      </c>
      <c r="B1336" t="s">
        <v>13</v>
      </c>
      <c r="C1336" t="s">
        <v>626</v>
      </c>
      <c r="D1336" t="s">
        <v>1421</v>
      </c>
      <c r="E1336" t="s">
        <v>1819</v>
      </c>
      <c r="F1336" t="s">
        <v>2089</v>
      </c>
      <c r="G1336">
        <v>10452</v>
      </c>
      <c r="K1336">
        <v>2</v>
      </c>
      <c r="L1336">
        <v>0</v>
      </c>
      <c r="M1336">
        <v>192.26</v>
      </c>
    </row>
    <row r="1337" spans="1:13">
      <c r="A1337" s="1">
        <f>HYPERLINK("https://lsnyc.legalserver.org/matter/dynamic-profile/view/1864736","18-1864736")</f>
        <v>0</v>
      </c>
      <c r="B1337" t="s">
        <v>13</v>
      </c>
      <c r="C1337" t="s">
        <v>131</v>
      </c>
      <c r="D1337" t="s">
        <v>1422</v>
      </c>
      <c r="E1337" t="s">
        <v>1512</v>
      </c>
      <c r="F1337" t="s">
        <v>2093</v>
      </c>
      <c r="G1337">
        <v>10029</v>
      </c>
      <c r="K1337">
        <v>3</v>
      </c>
      <c r="L1337">
        <v>0</v>
      </c>
      <c r="M1337">
        <v>192.49</v>
      </c>
    </row>
    <row r="1338" spans="1:13">
      <c r="A1338" s="1">
        <f>HYPERLINK("https://lsnyc.legalserver.org/matter/dynamic-profile/view/1842878","17-1842878")</f>
        <v>0</v>
      </c>
      <c r="B1338" t="s">
        <v>13</v>
      </c>
      <c r="C1338" t="s">
        <v>458</v>
      </c>
      <c r="D1338" t="s">
        <v>1423</v>
      </c>
      <c r="E1338" t="s">
        <v>2079</v>
      </c>
      <c r="F1338" t="s">
        <v>2093</v>
      </c>
      <c r="G1338">
        <v>10033</v>
      </c>
      <c r="K1338">
        <v>1</v>
      </c>
      <c r="L1338">
        <v>0</v>
      </c>
      <c r="M1338">
        <v>192.55</v>
      </c>
    </row>
    <row r="1339" spans="1:13">
      <c r="A1339" s="1">
        <f>HYPERLINK("https://lsnyc.legalserver.org/matter/dynamic-profile/view/1870235","18-1870235")</f>
        <v>0</v>
      </c>
      <c r="B1339" t="s">
        <v>13</v>
      </c>
      <c r="C1339" t="s">
        <v>701</v>
      </c>
      <c r="D1339" t="s">
        <v>1424</v>
      </c>
      <c r="E1339" t="s">
        <v>2080</v>
      </c>
      <c r="F1339" t="s">
        <v>2089</v>
      </c>
      <c r="G1339">
        <v>10453</v>
      </c>
      <c r="K1339">
        <v>1</v>
      </c>
      <c r="L1339">
        <v>0</v>
      </c>
      <c r="M1339">
        <v>192.75</v>
      </c>
    </row>
    <row r="1340" spans="1:13">
      <c r="A1340" s="1">
        <f>HYPERLINK("https://lsnyc.legalserver.org/matter/dynamic-profile/view/1836413","17-1836413")</f>
        <v>0</v>
      </c>
      <c r="B1340" t="s">
        <v>13</v>
      </c>
      <c r="C1340" t="s">
        <v>681</v>
      </c>
      <c r="D1340" t="s">
        <v>867</v>
      </c>
      <c r="E1340" t="s">
        <v>2081</v>
      </c>
      <c r="F1340" t="s">
        <v>2095</v>
      </c>
      <c r="G1340">
        <v>11691</v>
      </c>
      <c r="K1340">
        <v>2</v>
      </c>
      <c r="L1340">
        <v>0</v>
      </c>
      <c r="M1340">
        <v>192.81</v>
      </c>
    </row>
    <row r="1341" spans="1:13">
      <c r="A1341" s="1">
        <f>HYPERLINK("https://lsnyc.legalserver.org/matter/dynamic-profile/view/1843591","17-1843591")</f>
        <v>0</v>
      </c>
      <c r="B1341" t="s">
        <v>13</v>
      </c>
      <c r="C1341" t="s">
        <v>696</v>
      </c>
      <c r="D1341" t="s">
        <v>731</v>
      </c>
      <c r="E1341" t="s">
        <v>1858</v>
      </c>
      <c r="F1341" t="s">
        <v>2093</v>
      </c>
      <c r="G1341">
        <v>10040</v>
      </c>
      <c r="K1341">
        <v>3</v>
      </c>
      <c r="L1341">
        <v>0</v>
      </c>
      <c r="M1341">
        <v>193.1</v>
      </c>
    </row>
    <row r="1342" spans="1:13">
      <c r="A1342" s="1">
        <f>HYPERLINK("https://lsnyc.legalserver.org/matter/dynamic-profile/view/0780738","15-0780738")</f>
        <v>0</v>
      </c>
      <c r="B1342" t="s">
        <v>13</v>
      </c>
      <c r="C1342" t="s">
        <v>695</v>
      </c>
      <c r="D1342" t="s">
        <v>1414</v>
      </c>
      <c r="E1342" t="s">
        <v>1470</v>
      </c>
      <c r="F1342" t="s">
        <v>2089</v>
      </c>
      <c r="G1342">
        <v>10452</v>
      </c>
      <c r="K1342">
        <v>2</v>
      </c>
      <c r="L1342">
        <v>0</v>
      </c>
      <c r="M1342">
        <v>193.17</v>
      </c>
    </row>
    <row r="1343" spans="1:13">
      <c r="A1343" s="1">
        <f>HYPERLINK("https://lsnyc.legalserver.org/matter/dynamic-profile/view/1836242","17-1836242")</f>
        <v>0</v>
      </c>
      <c r="B1343" t="s">
        <v>13</v>
      </c>
      <c r="C1343" t="s">
        <v>83</v>
      </c>
      <c r="D1343" t="s">
        <v>1425</v>
      </c>
      <c r="E1343" t="s">
        <v>1729</v>
      </c>
      <c r="F1343" t="s">
        <v>2089</v>
      </c>
      <c r="G1343">
        <v>10453</v>
      </c>
      <c r="K1343">
        <v>2</v>
      </c>
      <c r="L1343">
        <v>0</v>
      </c>
      <c r="M1343">
        <v>193.45</v>
      </c>
    </row>
    <row r="1344" spans="1:13">
      <c r="A1344" s="1">
        <f>HYPERLINK("https://lsnyc.legalserver.org/matter/dynamic-profile/view/0822647","16-0822647")</f>
        <v>0</v>
      </c>
      <c r="B1344" t="s">
        <v>13</v>
      </c>
      <c r="C1344" t="s">
        <v>98</v>
      </c>
      <c r="D1344" t="s">
        <v>841</v>
      </c>
      <c r="E1344" t="s">
        <v>1850</v>
      </c>
      <c r="F1344" t="s">
        <v>2093</v>
      </c>
      <c r="G1344">
        <v>10034</v>
      </c>
      <c r="K1344">
        <v>3</v>
      </c>
      <c r="L1344">
        <v>0</v>
      </c>
      <c r="M1344">
        <v>193.45</v>
      </c>
    </row>
    <row r="1345" spans="1:13">
      <c r="A1345" s="1">
        <f>HYPERLINK("https://lsnyc.legalserver.org/matter/dynamic-profile/view/1843874","17-1843874")</f>
        <v>0</v>
      </c>
      <c r="B1345" t="s">
        <v>13</v>
      </c>
      <c r="C1345" t="s">
        <v>702</v>
      </c>
      <c r="D1345" t="s">
        <v>1426</v>
      </c>
      <c r="E1345" t="s">
        <v>2082</v>
      </c>
      <c r="F1345" t="s">
        <v>2091</v>
      </c>
      <c r="G1345">
        <v>11233</v>
      </c>
      <c r="K1345">
        <v>1</v>
      </c>
      <c r="L1345">
        <v>0</v>
      </c>
      <c r="M1345">
        <v>194.03</v>
      </c>
    </row>
    <row r="1346" spans="1:13">
      <c r="A1346" s="1">
        <f>HYPERLINK("https://lsnyc.legalserver.org/matter/dynamic-profile/view/1844119","17-1844119")</f>
        <v>0</v>
      </c>
      <c r="B1346" t="s">
        <v>13</v>
      </c>
      <c r="C1346" t="s">
        <v>621</v>
      </c>
      <c r="D1346" t="s">
        <v>1395</v>
      </c>
      <c r="E1346" t="s">
        <v>2083</v>
      </c>
      <c r="F1346" t="s">
        <v>2091</v>
      </c>
      <c r="G1346">
        <v>11207</v>
      </c>
      <c r="K1346">
        <v>1</v>
      </c>
      <c r="L1346">
        <v>0</v>
      </c>
      <c r="M1346">
        <v>194.03</v>
      </c>
    </row>
    <row r="1347" spans="1:13">
      <c r="A1347" s="1">
        <f>HYPERLINK("https://lsnyc.legalserver.org/matter/dynamic-profile/view/1846779","17-1846779")</f>
        <v>0</v>
      </c>
      <c r="B1347" t="s">
        <v>13</v>
      </c>
      <c r="C1347" t="s">
        <v>271</v>
      </c>
      <c r="D1347" t="s">
        <v>1427</v>
      </c>
      <c r="E1347" t="s">
        <v>2084</v>
      </c>
      <c r="F1347" t="s">
        <v>2091</v>
      </c>
      <c r="G1347">
        <v>11208</v>
      </c>
      <c r="K1347">
        <v>1</v>
      </c>
      <c r="L1347">
        <v>0</v>
      </c>
      <c r="M1347">
        <v>194.03</v>
      </c>
    </row>
    <row r="1348" spans="1:13">
      <c r="A1348" s="1">
        <f>HYPERLINK("https://lsnyc.legalserver.org/matter/dynamic-profile/view/1866445","18-1866445")</f>
        <v>0</v>
      </c>
      <c r="B1348" t="s">
        <v>13</v>
      </c>
      <c r="C1348" t="s">
        <v>703</v>
      </c>
      <c r="D1348" t="s">
        <v>736</v>
      </c>
      <c r="E1348" t="s">
        <v>1602</v>
      </c>
      <c r="F1348" t="s">
        <v>2093</v>
      </c>
      <c r="G1348">
        <v>10031</v>
      </c>
      <c r="K1348">
        <v>1</v>
      </c>
      <c r="L1348">
        <v>0</v>
      </c>
      <c r="M1348">
        <v>194.28</v>
      </c>
    </row>
    <row r="1349" spans="1:13">
      <c r="A1349" s="1">
        <f>HYPERLINK("https://lsnyc.legalserver.org/matter/dynamic-profile/view/1871195","18-1871195")</f>
        <v>0</v>
      </c>
      <c r="B1349" t="s">
        <v>13</v>
      </c>
      <c r="C1349" t="s">
        <v>704</v>
      </c>
      <c r="D1349" t="s">
        <v>1428</v>
      </c>
      <c r="E1349" t="s">
        <v>1448</v>
      </c>
      <c r="F1349" t="s">
        <v>2091</v>
      </c>
      <c r="G1349">
        <v>11212</v>
      </c>
      <c r="K1349">
        <v>2</v>
      </c>
      <c r="L1349">
        <v>0</v>
      </c>
      <c r="M1349">
        <v>194.41</v>
      </c>
    </row>
    <row r="1350" spans="1:13">
      <c r="A1350" s="1">
        <f>HYPERLINK("https://lsnyc.legalserver.org/matter/dynamic-profile/view/1867098","18-1867098")</f>
        <v>0</v>
      </c>
      <c r="B1350" t="s">
        <v>13</v>
      </c>
      <c r="C1350" t="s">
        <v>704</v>
      </c>
      <c r="D1350" t="s">
        <v>1428</v>
      </c>
      <c r="E1350" t="s">
        <v>1448</v>
      </c>
      <c r="F1350" t="s">
        <v>2091</v>
      </c>
      <c r="G1350">
        <v>11212</v>
      </c>
      <c r="K1350">
        <v>2</v>
      </c>
      <c r="L1350">
        <v>0</v>
      </c>
      <c r="M1350">
        <v>194.41</v>
      </c>
    </row>
    <row r="1351" spans="1:13">
      <c r="A1351" s="1">
        <f>HYPERLINK("https://lsnyc.legalserver.org/matter/dynamic-profile/view/0799066","16-0799066")</f>
        <v>0</v>
      </c>
      <c r="B1351" t="s">
        <v>13</v>
      </c>
      <c r="C1351" t="s">
        <v>143</v>
      </c>
      <c r="D1351" t="s">
        <v>923</v>
      </c>
      <c r="E1351" t="s">
        <v>1533</v>
      </c>
      <c r="F1351" t="s">
        <v>2089</v>
      </c>
      <c r="G1351">
        <v>10452</v>
      </c>
      <c r="K1351">
        <v>1</v>
      </c>
      <c r="L1351">
        <v>0</v>
      </c>
      <c r="M1351">
        <v>195.36</v>
      </c>
    </row>
    <row r="1352" spans="1:13">
      <c r="A1352" s="1">
        <f>HYPERLINK("https://lsnyc.legalserver.org/matter/dynamic-profile/view/1866536","18-1866536")</f>
        <v>0</v>
      </c>
      <c r="B1352" t="s">
        <v>13</v>
      </c>
      <c r="C1352" t="s">
        <v>541</v>
      </c>
      <c r="D1352" t="s">
        <v>909</v>
      </c>
      <c r="E1352" t="s">
        <v>1457</v>
      </c>
      <c r="F1352" t="s">
        <v>2089</v>
      </c>
      <c r="G1352">
        <v>10453</v>
      </c>
      <c r="K1352">
        <v>1</v>
      </c>
      <c r="L1352">
        <v>0</v>
      </c>
      <c r="M1352">
        <v>195.58</v>
      </c>
    </row>
    <row r="1353" spans="1:13">
      <c r="A1353" s="1">
        <f>HYPERLINK("https://lsnyc.legalserver.org/matter/dynamic-profile/view/1866535","18-1866535")</f>
        <v>0</v>
      </c>
      <c r="B1353" t="s">
        <v>13</v>
      </c>
      <c r="C1353" t="s">
        <v>541</v>
      </c>
      <c r="D1353" t="s">
        <v>909</v>
      </c>
      <c r="E1353" t="s">
        <v>1457</v>
      </c>
      <c r="F1353" t="s">
        <v>2089</v>
      </c>
      <c r="G1353">
        <v>10453</v>
      </c>
      <c r="K1353">
        <v>1</v>
      </c>
      <c r="L1353">
        <v>0</v>
      </c>
      <c r="M1353">
        <v>195.58</v>
      </c>
    </row>
    <row r="1354" spans="1:13">
      <c r="A1354" s="1">
        <f>HYPERLINK("https://lsnyc.legalserver.org/matter/dynamic-profile/view/1869166","18-1869166")</f>
        <v>0</v>
      </c>
      <c r="B1354" t="s">
        <v>13</v>
      </c>
      <c r="C1354" t="s">
        <v>541</v>
      </c>
      <c r="D1354" t="s">
        <v>909</v>
      </c>
      <c r="E1354" t="s">
        <v>1457</v>
      </c>
      <c r="F1354" t="s">
        <v>2089</v>
      </c>
      <c r="G1354">
        <v>10453</v>
      </c>
      <c r="K1354">
        <v>1</v>
      </c>
      <c r="L1354">
        <v>0</v>
      </c>
      <c r="M1354">
        <v>195.58</v>
      </c>
    </row>
    <row r="1355" spans="1:13">
      <c r="A1355" s="1">
        <f>HYPERLINK("https://lsnyc.legalserver.org/matter/dynamic-profile/view/1836054","17-1836054")</f>
        <v>0</v>
      </c>
      <c r="B1355" t="s">
        <v>13</v>
      </c>
      <c r="C1355" t="s">
        <v>704</v>
      </c>
      <c r="D1355" t="s">
        <v>1428</v>
      </c>
      <c r="E1355" t="s">
        <v>1448</v>
      </c>
      <c r="F1355" t="s">
        <v>2091</v>
      </c>
      <c r="G1355">
        <v>11212</v>
      </c>
      <c r="K1355">
        <v>2</v>
      </c>
      <c r="L1355">
        <v>0</v>
      </c>
      <c r="M1355">
        <v>197.04</v>
      </c>
    </row>
    <row r="1356" spans="1:13">
      <c r="A1356" s="1">
        <f>HYPERLINK("https://lsnyc.legalserver.org/matter/dynamic-profile/view/1834100","17-1834100")</f>
        <v>0</v>
      </c>
      <c r="B1356" t="s">
        <v>13</v>
      </c>
      <c r="C1356" t="s">
        <v>705</v>
      </c>
      <c r="D1356" t="s">
        <v>1429</v>
      </c>
      <c r="E1356" t="s">
        <v>2085</v>
      </c>
      <c r="F1356" t="s">
        <v>2111</v>
      </c>
      <c r="G1356">
        <v>11101</v>
      </c>
      <c r="K1356">
        <v>2</v>
      </c>
      <c r="L1356">
        <v>0</v>
      </c>
      <c r="M1356">
        <v>197.04</v>
      </c>
    </row>
    <row r="1357" spans="1:13">
      <c r="A1357" s="1">
        <f>HYPERLINK("https://lsnyc.legalserver.org/matter/dynamic-profile/view/0830754","17-0830754")</f>
        <v>0</v>
      </c>
      <c r="B1357" t="s">
        <v>13</v>
      </c>
      <c r="C1357" t="s">
        <v>470</v>
      </c>
      <c r="D1357" t="s">
        <v>1430</v>
      </c>
      <c r="E1357" t="s">
        <v>2086</v>
      </c>
      <c r="F1357" t="s">
        <v>2089</v>
      </c>
      <c r="G1357">
        <v>10451</v>
      </c>
      <c r="K1357">
        <v>2</v>
      </c>
      <c r="L1357">
        <v>0</v>
      </c>
      <c r="M1357">
        <v>197.04</v>
      </c>
    </row>
    <row r="1358" spans="1:13">
      <c r="A1358" s="1">
        <f>HYPERLINK("https://lsnyc.legalserver.org/matter/dynamic-profile/view/1834023","17-1834023")</f>
        <v>0</v>
      </c>
      <c r="B1358" t="s">
        <v>13</v>
      </c>
      <c r="C1358" t="s">
        <v>470</v>
      </c>
      <c r="D1358" t="s">
        <v>1430</v>
      </c>
      <c r="E1358" t="s">
        <v>2086</v>
      </c>
      <c r="F1358" t="s">
        <v>2089</v>
      </c>
      <c r="G1358">
        <v>10451</v>
      </c>
      <c r="K1358">
        <v>2</v>
      </c>
      <c r="L1358">
        <v>0</v>
      </c>
      <c r="M1358">
        <v>197.04</v>
      </c>
    </row>
    <row r="1359" spans="1:13">
      <c r="A1359" s="1">
        <f>HYPERLINK("https://lsnyc.legalserver.org/matter/dynamic-profile/view/1867103","18-1867103")</f>
        <v>0</v>
      </c>
      <c r="B1359" t="s">
        <v>13</v>
      </c>
      <c r="C1359" t="s">
        <v>286</v>
      </c>
      <c r="D1359" t="s">
        <v>1431</v>
      </c>
      <c r="E1359" t="s">
        <v>1448</v>
      </c>
      <c r="F1359" t="s">
        <v>2091</v>
      </c>
      <c r="G1359">
        <v>11212</v>
      </c>
      <c r="K1359">
        <v>1</v>
      </c>
      <c r="L1359">
        <v>0</v>
      </c>
      <c r="M1359">
        <v>197.69</v>
      </c>
    </row>
    <row r="1360" spans="1:13">
      <c r="A1360" s="1">
        <f>HYPERLINK("https://lsnyc.legalserver.org/matter/dynamic-profile/view/1872376","18-1872376")</f>
        <v>0</v>
      </c>
      <c r="B1360" t="s">
        <v>13</v>
      </c>
      <c r="C1360" t="s">
        <v>254</v>
      </c>
      <c r="D1360" t="s">
        <v>1432</v>
      </c>
      <c r="E1360" t="s">
        <v>1619</v>
      </c>
      <c r="F1360" t="s">
        <v>2091</v>
      </c>
      <c r="G1360">
        <v>11206</v>
      </c>
      <c r="K1360">
        <v>1</v>
      </c>
      <c r="L1360">
        <v>0</v>
      </c>
      <c r="M1360">
        <v>197.69</v>
      </c>
    </row>
    <row r="1361" spans="1:13">
      <c r="A1361" s="1">
        <f>HYPERLINK("https://lsnyc.legalserver.org/matter/dynamic-profile/view/0822001","16-0822001")</f>
        <v>0</v>
      </c>
      <c r="B1361" t="s">
        <v>13</v>
      </c>
      <c r="C1361" t="s">
        <v>706</v>
      </c>
      <c r="D1361" t="s">
        <v>778</v>
      </c>
      <c r="E1361" t="s">
        <v>1471</v>
      </c>
      <c r="F1361" t="s">
        <v>2089</v>
      </c>
      <c r="G1361">
        <v>10452</v>
      </c>
      <c r="K1361">
        <v>2</v>
      </c>
      <c r="L1361">
        <v>0</v>
      </c>
      <c r="M1361">
        <v>198.33</v>
      </c>
    </row>
    <row r="1362" spans="1:13">
      <c r="A1362" s="1">
        <f>HYPERLINK("https://lsnyc.legalserver.org/matter/dynamic-profile/view/1847881","17-1847881")</f>
        <v>0</v>
      </c>
      <c r="B1362" t="s">
        <v>14</v>
      </c>
      <c r="C1362" t="s">
        <v>707</v>
      </c>
      <c r="D1362" t="s">
        <v>1433</v>
      </c>
      <c r="E1362" t="s">
        <v>2087</v>
      </c>
      <c r="F1362" t="s">
        <v>2089</v>
      </c>
      <c r="G1362">
        <v>10471</v>
      </c>
      <c r="K1362">
        <v>3</v>
      </c>
      <c r="L1362">
        <v>0</v>
      </c>
      <c r="M1362">
        <v>198.33</v>
      </c>
    </row>
    <row r="1363" spans="1:13">
      <c r="A1363" s="1">
        <f>HYPERLINK("https://lsnyc.legalserver.org/matter/dynamic-profile/view/1847730","17-1847730")</f>
        <v>0</v>
      </c>
      <c r="B1363" t="s">
        <v>13</v>
      </c>
      <c r="C1363" t="s">
        <v>98</v>
      </c>
      <c r="D1363" t="s">
        <v>1350</v>
      </c>
      <c r="E1363" t="s">
        <v>1637</v>
      </c>
      <c r="F1363" t="s">
        <v>2093</v>
      </c>
      <c r="G1363">
        <v>10034</v>
      </c>
      <c r="K1363">
        <v>3</v>
      </c>
      <c r="L1363">
        <v>0</v>
      </c>
      <c r="M1363">
        <v>198.67</v>
      </c>
    </row>
    <row r="1364" spans="1:13">
      <c r="A1364" s="1">
        <f>HYPERLINK("https://lsnyc.legalserver.org/matter/dynamic-profile/view/0797950","16-0797950")</f>
        <v>0</v>
      </c>
      <c r="B1364" t="s">
        <v>13</v>
      </c>
      <c r="C1364" t="s">
        <v>708</v>
      </c>
      <c r="D1364" t="s">
        <v>1434</v>
      </c>
      <c r="E1364" t="s">
        <v>1560</v>
      </c>
      <c r="F1364" t="s">
        <v>2089</v>
      </c>
      <c r="G1364">
        <v>10453</v>
      </c>
      <c r="K1364">
        <v>1</v>
      </c>
      <c r="L1364">
        <v>0</v>
      </c>
      <c r="M1364">
        <v>198.72</v>
      </c>
    </row>
    <row r="1365" spans="1:13">
      <c r="A1365" s="1">
        <f>HYPERLINK("https://lsnyc.legalserver.org/matter/dynamic-profile/view/1855261","18-1855261")</f>
        <v>0</v>
      </c>
      <c r="B1365" t="s">
        <v>13</v>
      </c>
      <c r="C1365" t="s">
        <v>709</v>
      </c>
      <c r="D1365" t="s">
        <v>1435</v>
      </c>
      <c r="E1365" t="s">
        <v>2088</v>
      </c>
      <c r="F1365" t="s">
        <v>2092</v>
      </c>
      <c r="G1365">
        <v>11355</v>
      </c>
      <c r="K1365">
        <v>1</v>
      </c>
      <c r="L1365">
        <v>0</v>
      </c>
      <c r="M1365">
        <v>199</v>
      </c>
    </row>
    <row r="1366" spans="1:13">
      <c r="A1366" s="1">
        <f>HYPERLINK("https://lsnyc.legalserver.org/matter/dynamic-profile/view/1858045","18-1858045")</f>
        <v>0</v>
      </c>
      <c r="B1366" t="s">
        <v>13</v>
      </c>
      <c r="C1366" t="s">
        <v>710</v>
      </c>
      <c r="D1366" t="s">
        <v>1436</v>
      </c>
      <c r="E1366" t="s">
        <v>1802</v>
      </c>
      <c r="F1366" t="s">
        <v>2089</v>
      </c>
      <c r="G1366">
        <v>10463</v>
      </c>
      <c r="K1366">
        <v>1</v>
      </c>
      <c r="L1366">
        <v>0</v>
      </c>
      <c r="M1366">
        <v>199</v>
      </c>
    </row>
    <row r="1367" spans="1:13">
      <c r="A1367" s="1">
        <f>HYPERLINK("https://lsnyc.legalserver.org/matter/dynamic-profile/view/1836056","17-1836056")</f>
        <v>0</v>
      </c>
      <c r="B1367" t="s">
        <v>13</v>
      </c>
      <c r="C1367" t="s">
        <v>286</v>
      </c>
      <c r="D1367" t="s">
        <v>1431</v>
      </c>
      <c r="E1367" t="s">
        <v>1448</v>
      </c>
      <c r="F1367" t="s">
        <v>2091</v>
      </c>
      <c r="G1367">
        <v>11212</v>
      </c>
      <c r="K1367">
        <v>1</v>
      </c>
      <c r="L1367">
        <v>0</v>
      </c>
      <c r="M1367">
        <v>199</v>
      </c>
    </row>
    <row r="1368" spans="1:13">
      <c r="A1368" s="1">
        <f>HYPERLINK("https://lsnyc.legalserver.org/matter/dynamic-profile/view/1847205","17-1847205")</f>
        <v>0</v>
      </c>
      <c r="B1368" t="s">
        <v>13</v>
      </c>
      <c r="C1368" t="s">
        <v>254</v>
      </c>
      <c r="D1368" t="s">
        <v>1432</v>
      </c>
      <c r="E1368" t="s">
        <v>1619</v>
      </c>
      <c r="F1368" t="s">
        <v>2091</v>
      </c>
      <c r="G1368">
        <v>11206</v>
      </c>
      <c r="K1368">
        <v>1</v>
      </c>
      <c r="L1368">
        <v>0</v>
      </c>
      <c r="M1368">
        <v>199</v>
      </c>
    </row>
    <row r="1369" spans="1:13">
      <c r="A1369" s="1">
        <f>HYPERLINK("https://lsnyc.legalserver.org/matter/dynamic-profile/view/1841105","17-1841105")</f>
        <v>0</v>
      </c>
      <c r="B1369" t="s">
        <v>13</v>
      </c>
      <c r="C1369" t="s">
        <v>711</v>
      </c>
      <c r="D1369" t="s">
        <v>1070</v>
      </c>
      <c r="E1369" t="s">
        <v>1521</v>
      </c>
      <c r="F1369" t="s">
        <v>2089</v>
      </c>
      <c r="G1369">
        <v>10463</v>
      </c>
      <c r="K1369">
        <v>1</v>
      </c>
      <c r="L1369">
        <v>0</v>
      </c>
      <c r="M1369">
        <v>199</v>
      </c>
    </row>
    <row r="1370" spans="1:13">
      <c r="A1370" s="1">
        <f>HYPERLINK("https://lsnyc.legalserver.org/matter/dynamic-profile/view/1838781","17-1838781")</f>
        <v>0</v>
      </c>
      <c r="B1370" t="s">
        <v>13</v>
      </c>
      <c r="C1370" t="s">
        <v>90</v>
      </c>
      <c r="D1370" t="s">
        <v>1437</v>
      </c>
      <c r="E1370" t="s">
        <v>2005</v>
      </c>
      <c r="F1370" t="s">
        <v>2089</v>
      </c>
      <c r="G1370">
        <v>10473</v>
      </c>
      <c r="K1370">
        <v>1</v>
      </c>
      <c r="L1370">
        <v>0</v>
      </c>
      <c r="M1370">
        <v>199</v>
      </c>
    </row>
    <row r="1371" spans="1:13">
      <c r="A1371" s="1">
        <f>HYPERLINK("https://lsnyc.legalserver.org/matter/dynamic-profile/view/1856573","18-1856573")</f>
        <v>0</v>
      </c>
      <c r="B1371" t="s">
        <v>13</v>
      </c>
      <c r="C1371" t="s">
        <v>254</v>
      </c>
      <c r="D1371" t="s">
        <v>1432</v>
      </c>
      <c r="E1371" t="s">
        <v>1619</v>
      </c>
      <c r="F1371" t="s">
        <v>2091</v>
      </c>
      <c r="G1371">
        <v>11206</v>
      </c>
      <c r="K1371">
        <v>1</v>
      </c>
      <c r="L1371">
        <v>0</v>
      </c>
      <c r="M1371">
        <v>199</v>
      </c>
    </row>
    <row r="1372" spans="1:13">
      <c r="A1372" s="1">
        <f>HYPERLINK("https://lsnyc.legalserver.org/matter/dynamic-profile/view/1867767","18-1867767")</f>
        <v>0</v>
      </c>
      <c r="B1372" t="s">
        <v>13</v>
      </c>
      <c r="C1372" t="s">
        <v>712</v>
      </c>
      <c r="D1372" t="s">
        <v>773</v>
      </c>
      <c r="E1372" t="s">
        <v>1802</v>
      </c>
      <c r="F1372" t="s">
        <v>2089</v>
      </c>
      <c r="G1372">
        <v>10463</v>
      </c>
      <c r="K1372">
        <v>3</v>
      </c>
      <c r="L1372">
        <v>0</v>
      </c>
      <c r="M1372">
        <v>200.19</v>
      </c>
    </row>
    <row r="1373" spans="1:13">
      <c r="A1373" s="1">
        <f>HYPERLINK("https://lsnyc.legalserver.org/matter/dynamic-profile/view/1840475","17-1840475")</f>
        <v>0</v>
      </c>
      <c r="B1373" t="s">
        <v>13</v>
      </c>
      <c r="C1373" t="s">
        <v>713</v>
      </c>
      <c r="D1373" t="s">
        <v>904</v>
      </c>
      <c r="E1373" t="s">
        <v>1618</v>
      </c>
      <c r="F1373" t="s">
        <v>2093</v>
      </c>
      <c r="G1373">
        <v>10034</v>
      </c>
      <c r="K1373">
        <v>3</v>
      </c>
      <c r="L1373">
        <v>0</v>
      </c>
      <c r="M1373">
        <v>200.76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2019-07-16T14:22:17Z</dcterms:created>
  <dcterms:modified xsi:type="dcterms:W3CDTF">2019-07-16T14:22:17Z</dcterms:modified>
</cp:coreProperties>
</file>